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oward/Downloads/"/>
    </mc:Choice>
  </mc:AlternateContent>
  <xr:revisionPtr revIDLastSave="0" documentId="13_ncr:1_{EA7FC28F-04D9-9443-8E53-BE0DCB6209D7}" xr6:coauthVersionLast="47" xr6:coauthVersionMax="47" xr10:uidLastSave="{00000000-0000-0000-0000-000000000000}"/>
  <bookViews>
    <workbookView xWindow="0" yWindow="660" windowWidth="29400" windowHeight="17380" activeTab="1" xr2:uid="{1CB6DB0A-2E13-9B4A-BF39-0F22AC44DBF3}"/>
  </bookViews>
  <sheets>
    <sheet name="Cover" sheetId="1" r:id="rId1"/>
    <sheet name="Historical Financials" sheetId="2" r:id="rId2"/>
    <sheet name="Forecast" sheetId="4" r:id="rId3"/>
    <sheet name="Charts" sheetId="8" r:id="rId4"/>
    <sheet name="DCF" sheetId="5" r:id="rId5"/>
    <sheet name="EV EBITDA " sheetId="12" r:id="rId6"/>
    <sheet name="Football Field Chart" sheetId="13" r:id="rId7"/>
    <sheet name="Comps" sheetId="10" r:id="rId8"/>
    <sheet name="Sensitivity" sheetId="9" r:id="rId9"/>
  </sheets>
  <definedNames>
    <definedName name="_xlchart.v5.0" hidden="1">'Historical Financials'!$C$4:$C$23</definedName>
    <definedName name="_xlchart.v5.1" hidden="1">'Historical Financials'!$H$4:$H$23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47" i="5" l="1"/>
  <c r="L51" i="5"/>
  <c r="L48" i="5"/>
  <c r="C90" i="2"/>
  <c r="L32" i="5"/>
  <c r="L29" i="5"/>
  <c r="C13" i="12"/>
  <c r="C12" i="12"/>
  <c r="C11" i="12"/>
  <c r="J6" i="12"/>
  <c r="E6" i="12"/>
  <c r="D6" i="12"/>
  <c r="C6" i="12"/>
  <c r="F6" i="12" s="1"/>
  <c r="J5" i="12"/>
  <c r="E5" i="12"/>
  <c r="D5" i="12"/>
  <c r="C5" i="12"/>
  <c r="F5" i="12" s="1"/>
  <c r="G5" i="12" s="1"/>
  <c r="H5" i="12" s="1"/>
  <c r="J4" i="12"/>
  <c r="E4" i="12"/>
  <c r="D4" i="12"/>
  <c r="C4" i="12"/>
  <c r="E13" i="10"/>
  <c r="E14" i="10" s="1"/>
  <c r="E15" i="10" s="1"/>
  <c r="D13" i="10"/>
  <c r="D14" i="10" s="1"/>
  <c r="D15" i="10" s="1"/>
  <c r="C9" i="10"/>
  <c r="A30" i="9"/>
  <c r="A29" i="9"/>
  <c r="A28" i="9"/>
  <c r="A27" i="9"/>
  <c r="A26" i="9"/>
  <c r="A20" i="9"/>
  <c r="A19" i="9"/>
  <c r="A18" i="9"/>
  <c r="A17" i="9"/>
  <c r="A16" i="9"/>
  <c r="A10" i="9"/>
  <c r="A9" i="9"/>
  <c r="A8" i="9"/>
  <c r="A7" i="9"/>
  <c r="A6" i="9"/>
  <c r="Q55" i="5"/>
  <c r="Q40" i="5"/>
  <c r="Q22" i="5"/>
  <c r="G13" i="5"/>
  <c r="B15" i="5"/>
  <c r="I22" i="5"/>
  <c r="H28" i="5" s="1"/>
  <c r="B28" i="5"/>
  <c r="C28" i="5"/>
  <c r="D28" i="5"/>
  <c r="E28" i="5"/>
  <c r="F28" i="5"/>
  <c r="G28" i="5"/>
  <c r="B29" i="5"/>
  <c r="B30" i="5"/>
  <c r="C30" i="5"/>
  <c r="D30" i="5"/>
  <c r="E30" i="5"/>
  <c r="F30" i="5"/>
  <c r="G30" i="5"/>
  <c r="H30" i="5"/>
  <c r="I42" i="5"/>
  <c r="H48" i="5" s="1"/>
  <c r="B48" i="5"/>
  <c r="C48" i="5"/>
  <c r="D48" i="5"/>
  <c r="E48" i="5"/>
  <c r="F48" i="5"/>
  <c r="G48" i="5"/>
  <c r="B49" i="5"/>
  <c r="B50" i="5"/>
  <c r="C50" i="5"/>
  <c r="D50" i="5"/>
  <c r="E50" i="5"/>
  <c r="F50" i="5"/>
  <c r="G50" i="5"/>
  <c r="H50" i="5"/>
  <c r="I56" i="5"/>
  <c r="H62" i="5" s="1"/>
  <c r="B62" i="5"/>
  <c r="C62" i="5"/>
  <c r="D62" i="5"/>
  <c r="E62" i="5"/>
  <c r="F62" i="5"/>
  <c r="G62" i="5"/>
  <c r="B63" i="5"/>
  <c r="B64" i="5" s="1"/>
  <c r="C64" i="5"/>
  <c r="D64" i="5"/>
  <c r="E64" i="5"/>
  <c r="L61" i="5" s="1"/>
  <c r="L64" i="5" s="1"/>
  <c r="F64" i="5"/>
  <c r="G64" i="5"/>
  <c r="H64" i="5"/>
  <c r="I29" i="4"/>
  <c r="G54" i="4"/>
  <c r="G53" i="4"/>
  <c r="G52" i="4"/>
  <c r="G51" i="4"/>
  <c r="G50" i="4"/>
  <c r="I49" i="4"/>
  <c r="I53" i="4" s="1"/>
  <c r="H49" i="4"/>
  <c r="H50" i="4" s="1"/>
  <c r="H51" i="4" s="1"/>
  <c r="H52" i="4" s="1"/>
  <c r="G49" i="4"/>
  <c r="G32" i="4"/>
  <c r="H31" i="4"/>
  <c r="G31" i="4"/>
  <c r="H30" i="4"/>
  <c r="H32" i="4" s="1"/>
  <c r="G30" i="4"/>
  <c r="H29" i="4"/>
  <c r="G29" i="4"/>
  <c r="H28" i="4"/>
  <c r="G28" i="4"/>
  <c r="I27" i="4"/>
  <c r="I31" i="4" s="1"/>
  <c r="H27" i="4"/>
  <c r="G27" i="4"/>
  <c r="G7" i="4"/>
  <c r="G6" i="4"/>
  <c r="G5" i="4"/>
  <c r="G4" i="4"/>
  <c r="G3" i="4"/>
  <c r="G2" i="4"/>
  <c r="H2" i="4" s="1"/>
  <c r="H3" i="4" s="1"/>
  <c r="H4" i="4" s="1"/>
  <c r="H5" i="4" s="1"/>
  <c r="C75" i="2"/>
  <c r="D75" i="2"/>
  <c r="E75" i="2"/>
  <c r="F75" i="2"/>
  <c r="G75" i="2"/>
  <c r="H25" i="2"/>
  <c r="G18" i="2"/>
  <c r="G17" i="2"/>
  <c r="F18" i="2"/>
  <c r="H18" i="2"/>
  <c r="H21" i="2" s="1"/>
  <c r="H23" i="2" s="1"/>
  <c r="H17" i="2"/>
  <c r="G21" i="2"/>
  <c r="E23" i="2"/>
  <c r="D23" i="2"/>
  <c r="D21" i="2"/>
  <c r="D8" i="2"/>
  <c r="E8" i="2"/>
  <c r="F8" i="2"/>
  <c r="G8" i="2"/>
  <c r="H8" i="2"/>
  <c r="D17" i="2"/>
  <c r="D18" i="2" s="1"/>
  <c r="E17" i="2"/>
  <c r="E18" i="2" s="1"/>
  <c r="F17" i="2"/>
  <c r="E39" i="2"/>
  <c r="E45" i="2"/>
  <c r="E46" i="2"/>
  <c r="E54" i="2"/>
  <c r="E59" i="2"/>
  <c r="E60" i="2"/>
  <c r="D69" i="2"/>
  <c r="C96" i="2"/>
  <c r="D96" i="2"/>
  <c r="E96" i="2"/>
  <c r="F96" i="2"/>
  <c r="G96" i="2"/>
  <c r="C108" i="2"/>
  <c r="D108" i="2"/>
  <c r="E108" i="2"/>
  <c r="F108" i="2"/>
  <c r="G108" i="2"/>
  <c r="G6" i="12" l="1"/>
  <c r="H6" i="12" s="1"/>
  <c r="C13" i="10"/>
  <c r="C14" i="10" s="1"/>
  <c r="C15" i="10" s="1"/>
  <c r="F4" i="12"/>
  <c r="G4" i="12" s="1"/>
  <c r="H4" i="12" s="1"/>
  <c r="I50" i="4"/>
  <c r="I51" i="4" s="1"/>
  <c r="I52" i="4" s="1"/>
  <c r="I54" i="4" s="1"/>
  <c r="H53" i="4"/>
  <c r="H54" i="4" s="1"/>
  <c r="J49" i="4"/>
  <c r="I28" i="4"/>
  <c r="I30" i="4" s="1"/>
  <c r="I32" i="4" s="1"/>
  <c r="J27" i="4"/>
  <c r="I2" i="4"/>
  <c r="J2" i="4" s="1"/>
  <c r="K2" i="4" s="1"/>
  <c r="L2" i="4" s="1"/>
  <c r="M2" i="4" s="1"/>
  <c r="H6" i="4"/>
  <c r="H7" i="4" s="1"/>
  <c r="L6" i="4"/>
  <c r="E21" i="2"/>
  <c r="F21" i="2"/>
  <c r="F23" i="2" s="1"/>
  <c r="J53" i="4" l="1"/>
  <c r="J50" i="4"/>
  <c r="J51" i="4" s="1"/>
  <c r="J52" i="4" s="1"/>
  <c r="K49" i="4"/>
  <c r="J31" i="4"/>
  <c r="J28" i="4"/>
  <c r="J29" i="4" s="1"/>
  <c r="J30" i="4" s="1"/>
  <c r="J32" i="4" s="1"/>
  <c r="K27" i="4"/>
  <c r="I3" i="4"/>
  <c r="I4" i="4" s="1"/>
  <c r="I5" i="4" s="1"/>
  <c r="I6" i="4"/>
  <c r="J3" i="4"/>
  <c r="J4" i="4" s="1"/>
  <c r="J5" i="4" s="1"/>
  <c r="J7" i="4" s="1"/>
  <c r="J6" i="4"/>
  <c r="K6" i="4"/>
  <c r="K3" i="4"/>
  <c r="K4" i="4" s="1"/>
  <c r="K5" i="4" s="1"/>
  <c r="K7" i="4" s="1"/>
  <c r="L3" i="4"/>
  <c r="L4" i="4" s="1"/>
  <c r="L5" i="4" s="1"/>
  <c r="L7" i="4" s="1"/>
  <c r="M6" i="4"/>
  <c r="M3" i="4"/>
  <c r="M4" i="4" s="1"/>
  <c r="M5" i="4" s="1"/>
  <c r="M7" i="4" s="1"/>
  <c r="I7" i="4"/>
  <c r="D25" i="2"/>
  <c r="C78" i="2"/>
  <c r="F25" i="2"/>
  <c r="E78" i="2"/>
  <c r="E90" i="2" s="1"/>
  <c r="G78" i="2"/>
  <c r="G90" i="2" s="1"/>
  <c r="E25" i="2"/>
  <c r="D78" i="2"/>
  <c r="D90" i="2" s="1"/>
  <c r="J54" i="4" l="1"/>
  <c r="K50" i="4"/>
  <c r="K51" i="4" s="1"/>
  <c r="K52" i="4" s="1"/>
  <c r="L49" i="4"/>
  <c r="M49" i="4" s="1"/>
  <c r="K53" i="4"/>
  <c r="K28" i="4"/>
  <c r="K29" i="4" s="1"/>
  <c r="K30" i="4" s="1"/>
  <c r="L27" i="4"/>
  <c r="K31" i="4"/>
  <c r="G23" i="2"/>
  <c r="F78" i="2" s="1"/>
  <c r="F90" i="2" s="1"/>
  <c r="H26" i="2"/>
  <c r="H27" i="2"/>
  <c r="D113" i="2"/>
  <c r="D110" i="2"/>
  <c r="E26" i="2"/>
  <c r="E27" i="2"/>
  <c r="G113" i="2"/>
  <c r="G110" i="2"/>
  <c r="E113" i="2"/>
  <c r="E110" i="2"/>
  <c r="F26" i="2"/>
  <c r="F27" i="2"/>
  <c r="C113" i="2"/>
  <c r="C110" i="2"/>
  <c r="C112" i="2" s="1"/>
  <c r="D111" i="2" s="1"/>
  <c r="D26" i="2"/>
  <c r="D27" i="2"/>
  <c r="K54" i="4" l="1"/>
  <c r="L50" i="4"/>
  <c r="L51" i="4" s="1"/>
  <c r="L52" i="4" s="1"/>
  <c r="L53" i="4"/>
  <c r="M27" i="4"/>
  <c r="L31" i="4"/>
  <c r="L28" i="4"/>
  <c r="L29" i="4" s="1"/>
  <c r="L30" i="4" s="1"/>
  <c r="L32" i="4" s="1"/>
  <c r="K32" i="4"/>
  <c r="G25" i="2"/>
  <c r="G26" i="2" s="1"/>
  <c r="F113" i="2"/>
  <c r="F110" i="2"/>
  <c r="G27" i="2"/>
  <c r="D112" i="2"/>
  <c r="E111" i="2" s="1"/>
  <c r="E112" i="2" s="1"/>
  <c r="F111" i="2" s="1"/>
  <c r="M50" i="4" l="1"/>
  <c r="M51" i="4" s="1"/>
  <c r="M52" i="4" s="1"/>
  <c r="M53" i="4"/>
  <c r="L54" i="4"/>
  <c r="M31" i="4"/>
  <c r="M28" i="4"/>
  <c r="M29" i="4" s="1"/>
  <c r="M30" i="4" s="1"/>
  <c r="M32" i="4" s="1"/>
  <c r="F112" i="2"/>
  <c r="G111" i="2" s="1"/>
  <c r="G112" i="2" s="1"/>
  <c r="G12" i="5" s="1"/>
  <c r="C8" i="9" l="1"/>
  <c r="I6" i="12"/>
  <c r="K6" i="12" s="1"/>
  <c r="L6" i="12" s="1"/>
  <c r="C28" i="9"/>
  <c r="D18" i="9"/>
  <c r="I5" i="12"/>
  <c r="K5" i="12" s="1"/>
  <c r="L5" i="12" s="1"/>
  <c r="C18" i="9"/>
  <c r="G6" i="9" s="1"/>
  <c r="I4" i="12"/>
  <c r="K4" i="12" s="1"/>
  <c r="L4" i="12" s="1"/>
  <c r="D28" i="9"/>
  <c r="D16" i="9"/>
  <c r="D30" i="9"/>
  <c r="B27" i="9"/>
  <c r="C29" i="9"/>
  <c r="B6" i="9"/>
  <c r="D26" i="9"/>
  <c r="C27" i="9"/>
  <c r="B30" i="9"/>
  <c r="D6" i="9"/>
  <c r="D8" i="9"/>
  <c r="G5" i="9" s="1"/>
  <c r="C7" i="9"/>
  <c r="Q45" i="5"/>
  <c r="Q49" i="5" s="1"/>
  <c r="D20" i="9"/>
  <c r="B8" i="9"/>
  <c r="B10" i="9"/>
  <c r="D19" i="9"/>
  <c r="D17" i="9"/>
  <c r="C17" i="9"/>
  <c r="D7" i="9"/>
  <c r="B20" i="9"/>
  <c r="C10" i="9"/>
  <c r="B9" i="9"/>
  <c r="D27" i="9"/>
  <c r="C20" i="9"/>
  <c r="B28" i="9"/>
  <c r="G7" i="9" s="1"/>
  <c r="C30" i="9"/>
  <c r="B29" i="9"/>
  <c r="B26" i="9"/>
  <c r="B18" i="9"/>
  <c r="C6" i="9"/>
  <c r="B7" i="9"/>
  <c r="C19" i="9"/>
  <c r="B16" i="9"/>
  <c r="C9" i="9"/>
  <c r="B19" i="9"/>
  <c r="C16" i="9"/>
  <c r="Q60" i="5"/>
  <c r="Q64" i="5" s="1"/>
  <c r="D29" i="9"/>
  <c r="D10" i="9"/>
  <c r="D9" i="9"/>
  <c r="C26" i="9"/>
  <c r="Q27" i="5"/>
  <c r="Q33" i="5" s="1"/>
  <c r="B17" i="9"/>
  <c r="M54" i="4"/>
  <c r="Z31" i="5" l="1"/>
  <c r="H5" i="9" s="1"/>
  <c r="C16" i="10"/>
  <c r="C22" i="10" s="1"/>
  <c r="D16" i="10"/>
  <c r="D22" i="10" s="1"/>
  <c r="H6" i="9"/>
  <c r="Z62" i="5"/>
  <c r="E16" i="10"/>
  <c r="E22" i="10" s="1"/>
  <c r="B26" i="13" s="1"/>
  <c r="H11" i="12"/>
  <c r="B12" i="12"/>
  <c r="D12" i="12" s="1"/>
  <c r="H12" i="12" s="1"/>
  <c r="G11" i="12"/>
  <c r="B13" i="12"/>
  <c r="D13" i="12" s="1"/>
  <c r="G12" i="12" s="1"/>
  <c r="B25" i="13" s="1"/>
  <c r="B11" i="12"/>
  <c r="D11" i="12" s="1"/>
  <c r="I12" i="12" s="1"/>
  <c r="I11" i="12"/>
  <c r="H7" i="9" l="1"/>
  <c r="B24" i="13"/>
</calcChain>
</file>

<file path=xl/sharedStrings.xml><?xml version="1.0" encoding="utf-8"?>
<sst xmlns="http://schemas.openxmlformats.org/spreadsheetml/2006/main" count="392" uniqueCount="221">
  <si>
    <t>Oracle ( NYSE: ORCL)</t>
  </si>
  <si>
    <t>Analyst:  Haoyang Zou
Institute of Science Tokyo</t>
  </si>
  <si>
    <t>FY 2022</t>
  </si>
  <si>
    <t>FY 2023</t>
  </si>
  <si>
    <t>FY 2024</t>
  </si>
  <si>
    <t>FY 2025</t>
  </si>
  <si>
    <t>FY 2026</t>
  </si>
  <si>
    <t>Income Statement</t>
  </si>
  <si>
    <t>Revenue Growth</t>
  </si>
  <si>
    <t>Cloud Services &amp; License Support</t>
  </si>
  <si>
    <t>Cloud License &amp; On- Premise License</t>
  </si>
  <si>
    <t>Cloud</t>
  </si>
  <si>
    <t>Software</t>
  </si>
  <si>
    <t>Hardware</t>
  </si>
  <si>
    <t>Services</t>
  </si>
  <si>
    <t>Total Revenue</t>
  </si>
  <si>
    <t>Cloud/Software Operating Expense</t>
  </si>
  <si>
    <t>Hardware Operating Expense</t>
  </si>
  <si>
    <t>Services Operating Expense</t>
  </si>
  <si>
    <t>Sales &amp; Marketing</t>
  </si>
  <si>
    <t>R &amp; D</t>
  </si>
  <si>
    <t>G &amp; A</t>
  </si>
  <si>
    <t>Amortization of Intangibles</t>
  </si>
  <si>
    <t>Acquistion/Restructuring/Other</t>
  </si>
  <si>
    <t>Total Operating Expense</t>
  </si>
  <si>
    <t>Operating Income/EBIT</t>
  </si>
  <si>
    <t>Interest Expense</t>
  </si>
  <si>
    <t>Non-operating Income/Expense</t>
  </si>
  <si>
    <t>Income Before Tax</t>
  </si>
  <si>
    <t>Tax Provision</t>
  </si>
  <si>
    <t>Net Income</t>
  </si>
  <si>
    <t>Preferred Dividends</t>
  </si>
  <si>
    <t>Net Income to Common</t>
  </si>
  <si>
    <t>Basic EPS</t>
  </si>
  <si>
    <t>Diluted EPS</t>
  </si>
  <si>
    <t>Basic Shares</t>
  </si>
  <si>
    <t>Unit</t>
  </si>
  <si>
    <t>USD millions</t>
  </si>
  <si>
    <t>Diluted Shares</t>
  </si>
  <si>
    <t>Balance Sheet</t>
  </si>
  <si>
    <t>Assets</t>
  </si>
  <si>
    <t>Cash and Cash Equivalents</t>
  </si>
  <si>
    <t>Maketable Securities</t>
  </si>
  <si>
    <t>Trade Receivables,net</t>
  </si>
  <si>
    <t>Prepaid Expenses and Other Current Assets</t>
  </si>
  <si>
    <t>Total Current Assets</t>
  </si>
  <si>
    <t>PP&amp;E,net</t>
  </si>
  <si>
    <t>Goodwill</t>
  </si>
  <si>
    <t>Operating Lease right-of-use Assets</t>
  </si>
  <si>
    <t>Deferred Tax Assets</t>
  </si>
  <si>
    <t>Other Non-Current Assets</t>
  </si>
  <si>
    <t>Total Non-Current Assets</t>
  </si>
  <si>
    <t>Total Assets</t>
  </si>
  <si>
    <t>Liabilities</t>
  </si>
  <si>
    <t>Notes Payable and Other Borrowings, Current</t>
  </si>
  <si>
    <t>AP</t>
  </si>
  <si>
    <t>Accrued Compensation and Related Benefits</t>
  </si>
  <si>
    <t>Deferred Revenues</t>
  </si>
  <si>
    <t>Other Current Liabilites</t>
  </si>
  <si>
    <t>Total Current Liabilities</t>
  </si>
  <si>
    <t>Notes Payable and Other Borrowings, Non-Current</t>
  </si>
  <si>
    <t>Income Taxes Payable</t>
  </si>
  <si>
    <t>Operating Lease Liabilities</t>
  </si>
  <si>
    <t>Other Non-Current Liabilities</t>
  </si>
  <si>
    <t>Total Liabilities</t>
  </si>
  <si>
    <t>Total Non-Current Liabilities</t>
  </si>
  <si>
    <t>Stockholders' Equity</t>
  </si>
  <si>
    <t>Balance Sheet Check</t>
  </si>
  <si>
    <t>Red : Wrong</t>
  </si>
  <si>
    <t>Yellow : Right</t>
  </si>
  <si>
    <t>Cash Flow Statement</t>
  </si>
  <si>
    <t>Operating Activities</t>
  </si>
  <si>
    <t>Depreciation</t>
  </si>
  <si>
    <t>Deferred Income Taxes</t>
  </si>
  <si>
    <t>Stock-Based Compensation/SBC</t>
  </si>
  <si>
    <t>Other, net</t>
  </si>
  <si>
    <t>Increase in Trade Receivables</t>
  </si>
  <si>
    <t>Decrease in Prepaid &amp; Other Assets</t>
  </si>
  <si>
    <t>Decrease in Income Taxes Payable</t>
  </si>
  <si>
    <t>Decrease in AP &amp; Other Liabilities</t>
  </si>
  <si>
    <t>Increase in Deferred Revenues</t>
  </si>
  <si>
    <t>Customer Prepayments w/Significant Financing</t>
  </si>
  <si>
    <t>Net Cash Provided by Operating Activities (OCF)</t>
  </si>
  <si>
    <t>Investing Activities</t>
  </si>
  <si>
    <t>Purchases of Marketable Securities &amp; Investments</t>
  </si>
  <si>
    <t>Acquisition, Net of Cash Acquired</t>
  </si>
  <si>
    <t>CapEx</t>
  </si>
  <si>
    <t>Proceeds from Sales/Maturities of Investments</t>
  </si>
  <si>
    <t>Net Cash Used/ Provided by Investing Activities</t>
  </si>
  <si>
    <t>Financing Activities</t>
  </si>
  <si>
    <t>Repurchase of Common Stock</t>
  </si>
  <si>
    <t>Proceeds from Issurance of Common Stock</t>
  </si>
  <si>
    <t>Tax Withholding on RSU Vesting RSU</t>
  </si>
  <si>
    <t>Dividends Paid to Stockholders</t>
  </si>
  <si>
    <t>Commercial Paper, Net</t>
  </si>
  <si>
    <t>MCPS Issurance, Net</t>
  </si>
  <si>
    <t>Short-Term Financing Activities, Net</t>
  </si>
  <si>
    <t>Debt Issurance</t>
  </si>
  <si>
    <t>Debt Repayment</t>
  </si>
  <si>
    <t>Other Financing Activities,Net</t>
  </si>
  <si>
    <t>Net Cash Provided/ Used by Financing Activities</t>
  </si>
  <si>
    <t>FX Effect</t>
  </si>
  <si>
    <t>Net Increase/ Decrease in Cash</t>
  </si>
  <si>
    <t>Beginning Cash</t>
  </si>
  <si>
    <t>Ending Cash</t>
  </si>
  <si>
    <t>FCF</t>
  </si>
  <si>
    <t>EBIT Margin</t>
  </si>
  <si>
    <t>CapEx Margin</t>
  </si>
  <si>
    <t>FY 2025A</t>
  </si>
  <si>
    <t>FY 2024A</t>
  </si>
  <si>
    <t>FY 2023A</t>
  </si>
  <si>
    <t>FY 2022A</t>
  </si>
  <si>
    <t>FY 2026A</t>
  </si>
  <si>
    <t>FY 2027E</t>
  </si>
  <si>
    <t>FY 2028E</t>
  </si>
  <si>
    <t>FY 2029E</t>
  </si>
  <si>
    <t>Tax Rate</t>
  </si>
  <si>
    <t>D&amp;A Margin</t>
  </si>
  <si>
    <t>Forecast Sheet</t>
  </si>
  <si>
    <t>FY2027E</t>
  </si>
  <si>
    <t>FY2028E</t>
  </si>
  <si>
    <t>FY2029E</t>
  </si>
  <si>
    <t>FY2026A</t>
  </si>
  <si>
    <t>Revenue</t>
  </si>
  <si>
    <t>EBIT</t>
  </si>
  <si>
    <t>OCF</t>
  </si>
  <si>
    <t xml:space="preserve">Interest Expense </t>
  </si>
  <si>
    <t>SBC Margin</t>
  </si>
  <si>
    <t>Deferred Taxes M</t>
  </si>
  <si>
    <t>ΔNWC</t>
  </si>
  <si>
    <t>FY 2030E</t>
  </si>
  <si>
    <t>FY 2031E</t>
  </si>
  <si>
    <t>FY 2032E</t>
  </si>
  <si>
    <t>WACC Calculation</t>
  </si>
  <si>
    <t>Risk-Free Rate</t>
  </si>
  <si>
    <t>Equity Risk Premium</t>
  </si>
  <si>
    <t>Beta</t>
  </si>
  <si>
    <t>Cost of Equity</t>
  </si>
  <si>
    <t>Pre-tax Cost of Debt</t>
  </si>
  <si>
    <t>After-tax Cost of Debt</t>
  </si>
  <si>
    <t>Equity Weight</t>
  </si>
  <si>
    <t>Debt Weight</t>
  </si>
  <si>
    <t>WACC</t>
  </si>
  <si>
    <t>Terminal Growth Rate</t>
  </si>
  <si>
    <t>Terminal Value</t>
  </si>
  <si>
    <t>Enterprise Value</t>
  </si>
  <si>
    <t>Equity Value</t>
  </si>
  <si>
    <t>Net Debt</t>
  </si>
  <si>
    <t>Preferred  Equity</t>
  </si>
  <si>
    <t>Present Target Price</t>
  </si>
  <si>
    <t>EPS</t>
  </si>
  <si>
    <t>P/E</t>
  </si>
  <si>
    <t>Target Price</t>
  </si>
  <si>
    <t>Bull Case</t>
  </si>
  <si>
    <t>Base Case</t>
  </si>
  <si>
    <t>Bear Case</t>
  </si>
  <si>
    <t>Bull</t>
  </si>
  <si>
    <t>Base</t>
  </si>
  <si>
    <t>Bear</t>
  </si>
  <si>
    <t>DCF Present Target Price</t>
  </si>
  <si>
    <t>Present Value</t>
  </si>
  <si>
    <t>The final present target price is calculated using a blended valuation approach. 
Because Oracle is currently undergoing an unusually capital-intensive AI infrastructure investment cycle,the DCF valuation may understate the company’s long-term earnings power by heavily penalizing near-term free cash flow. Therefore, this model assigns a 25% weight to the DCF-derived present value and a 75% weight to the present value of the FY2029 P/E-based target price. This weighting reflects the view that forward earnings power is more representative of Oracle’s AI infrastructure monetization potential, while DCF remains useful as a conservative valuation cross-check.</t>
  </si>
  <si>
    <t>Oracle Sensitivity Analysis</t>
  </si>
  <si>
    <t>All values are formula-linked to the DCF sheet; no output values are hardcoded.</t>
  </si>
  <si>
    <t>Bull Case - Blended Present Target Price</t>
  </si>
  <si>
    <t>Current Check</t>
  </si>
  <si>
    <t>Linked Formula</t>
  </si>
  <si>
    <t>DCF Current</t>
  </si>
  <si>
    <t>WACC \ Terminal Growth</t>
  </si>
  <si>
    <t>Bull current</t>
  </si>
  <si>
    <t>Base current</t>
  </si>
  <si>
    <t>Bear current</t>
  </si>
  <si>
    <t>Base Case - Blended Present Target Price</t>
  </si>
  <si>
    <t>Bear Case - Blended Present Target Price</t>
  </si>
  <si>
    <t>Blended Target Price</t>
  </si>
  <si>
    <t>Comps Weight</t>
  </si>
  <si>
    <t>DCF Weight</t>
  </si>
  <si>
    <t>Present Value of Comps</t>
  </si>
  <si>
    <t>Comps Target Price</t>
  </si>
  <si>
    <t>Median Forward P/E</t>
  </si>
  <si>
    <t>WDAY</t>
  </si>
  <si>
    <t>Workday</t>
  </si>
  <si>
    <t>NOW</t>
  </si>
  <si>
    <t>ServiceNow</t>
  </si>
  <si>
    <t>CRM</t>
  </si>
  <si>
    <t>Salesforce</t>
  </si>
  <si>
    <t>SAP</t>
  </si>
  <si>
    <t>MSFT</t>
  </si>
  <si>
    <t>Microsoft</t>
  </si>
  <si>
    <t>ORCL</t>
  </si>
  <si>
    <t>Oracle</t>
  </si>
  <si>
    <t>Forward P/E</t>
  </si>
  <si>
    <t>Ticker</t>
  </si>
  <si>
    <t>Company</t>
  </si>
  <si>
    <t xml:space="preserve">FY2029 EPS </t>
  </si>
  <si>
    <t>DCF Value</t>
  </si>
  <si>
    <t>Note: EV/EBITDA target prices are FY2029 implied prices. Present values discount FY2029 prices back three years at the Cost of Equity.</t>
  </si>
  <si>
    <t>EV/EBITDA Present Price</t>
  </si>
  <si>
    <t>EV/EBITDA FY2029 Target Price</t>
  </si>
  <si>
    <t>Method</t>
  </si>
  <si>
    <t>Present EV/EBITDA Price</t>
  </si>
  <si>
    <t>FY2029 Target Price</t>
  </si>
  <si>
    <t>Scenario</t>
  </si>
  <si>
    <t>Football Field Inputs</t>
  </si>
  <si>
    <t>Present Value Bridge</t>
  </si>
  <si>
    <t>Preferred Equity</t>
  </si>
  <si>
    <t>Implied EV</t>
  </si>
  <si>
    <t>FY2029 EBITDA</t>
  </si>
  <si>
    <t>D&amp;A</t>
  </si>
  <si>
    <t>FY2029 EBIT</t>
  </si>
  <si>
    <t>FY2029 Revenue</t>
  </si>
  <si>
    <t>EV/EBITDA Multiple</t>
  </si>
  <si>
    <t>EV/EBITDA Valuation (FY2029 Target Price)</t>
  </si>
  <si>
    <t>Mid</t>
  </si>
  <si>
    <t>EV/EBITDA</t>
  </si>
  <si>
    <t>Range</t>
  </si>
  <si>
    <t>Start</t>
  </si>
  <si>
    <t>DCF+P/E Blend</t>
  </si>
  <si>
    <t>DCF+ Trading Comps</t>
  </si>
  <si>
    <t>The football field analysis suggests a valuation range of approximately $89–363 per share, with the blended base-case valuation centered around $220–240 per share, broadly consistent with Oracle's current market valuation while leaving meaningful upside  in the AI infrastructure bull case.</t>
  </si>
  <si>
    <t>Summary Box
Rating : Initiating Coverage
Current Price: $141.60
Target Price: $271.38
Upside: 91.7%
Market Cap: $408B
FY End: May
Sector: Technology
Industry:
Cloud Infrastructure &amp; Enterprise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</si>
</sst>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¥&quot;#,##0.00_);[Red]\(&quot;¥&quot;#,##0.00\)"/>
    <numFmt numFmtId="42" formatCode="_(&quot;¥&quot;* #,##0_);_(&quot;¥&quot;* \(#,##0\);_(&quot;¥&quot;* &quot;-&quot;_);_(@_)"/>
    <numFmt numFmtId="41" formatCode="_(* #,##0_);_(* \(#,##0\);_(* &quot;-&quot;_);_(@_)"/>
    <numFmt numFmtId="43" formatCode="_(* #,##0.00_);_(* \(#,##0.00\);_(* &quot;-&quot;??_);_(@_)"/>
    <numFmt numFmtId="164" formatCode="\$#,##0.00;[Red]\(\$#,##0.00\);\-"/>
    <numFmt numFmtId="165" formatCode="\$0.00"/>
    <numFmt numFmtId="166" formatCode="0.0%"/>
    <numFmt numFmtId="167" formatCode="#,##0;[Red]\(#,##0\);\-"/>
    <numFmt numFmtId="168" formatCode="0.0\x"/>
  </numFmts>
  <fonts count="50" x14ac:knownFonts="1">
    <font>
      <sz val="10"/>
      <color theme="1"/>
      <name val="Aptos Narrow"/>
      <family val="2"/>
      <scheme val="minor"/>
    </font>
    <font>
      <sz val="18"/>
      <color theme="1"/>
      <name val="Aptos Narrow (Body)"/>
    </font>
    <font>
      <sz val="26"/>
      <color theme="1"/>
      <name val="Aptos Narrow (Body)"/>
    </font>
    <font>
      <sz val="72"/>
      <color theme="1"/>
      <name val="Aptos Narrow (Body)"/>
    </font>
    <font>
      <sz val="8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scheme val="minor"/>
    </font>
    <font>
      <sz val="20"/>
      <color theme="1"/>
      <name val="Aptos Narrow"/>
      <family val="2"/>
      <scheme val="minor"/>
    </font>
    <font>
      <sz val="16"/>
      <color rgb="FFFF0000"/>
      <name val="Aptos Narrow"/>
      <family val="2"/>
      <scheme val="minor"/>
    </font>
    <font>
      <sz val="20"/>
      <color rgb="FFFF0000"/>
      <name val="Aptos Narrow"/>
      <family val="2"/>
      <scheme val="minor"/>
    </font>
    <font>
      <b/>
      <sz val="24"/>
      <color theme="1"/>
      <name val="Aptos Narrow"/>
      <scheme val="minor"/>
    </font>
    <font>
      <b/>
      <sz val="26"/>
      <color theme="1"/>
      <name val="Aptos Narrow"/>
      <scheme val="minor"/>
    </font>
    <font>
      <b/>
      <sz val="16"/>
      <color rgb="FFFF0000"/>
      <name val="Aptos Narrow"/>
      <scheme val="minor"/>
    </font>
    <font>
      <sz val="16"/>
      <color theme="1"/>
      <name val="Aptos Narrow"/>
      <scheme val="minor"/>
    </font>
    <font>
      <sz val="28"/>
      <color theme="1"/>
      <name val="Aptos Narrow"/>
      <scheme val="minor"/>
    </font>
    <font>
      <b/>
      <sz val="20"/>
      <color theme="1"/>
      <name val="Aptos Narrow"/>
      <scheme val="minor"/>
    </font>
    <font>
      <b/>
      <sz val="14"/>
      <color theme="1"/>
      <name val="Aptos Narrow"/>
      <scheme val="minor"/>
    </font>
    <font>
      <sz val="10"/>
      <color rgb="FF000000"/>
      <name val="Aptos Narrow"/>
      <family val="2"/>
      <scheme val="minor"/>
    </font>
    <font>
      <sz val="16"/>
      <color rgb="FF000000"/>
      <name val="Aptos Narrow"/>
      <family val="2"/>
      <scheme val="minor"/>
    </font>
    <font>
      <sz val="16"/>
      <color theme="3" tint="0.249977111117893"/>
      <name val="Aptos Narrow"/>
      <family val="2"/>
      <scheme val="minor"/>
    </font>
    <font>
      <b/>
      <sz val="14"/>
      <color theme="3" tint="0.249977111117893"/>
      <name val="Aptos Narrow"/>
      <scheme val="minor"/>
    </font>
    <font>
      <sz val="16"/>
      <color theme="3" tint="0.249977111117893"/>
      <name val="Aptos Narrow"/>
      <scheme val="minor"/>
    </font>
    <font>
      <b/>
      <sz val="20"/>
      <color theme="1"/>
      <name val="Aptos Narrow (Body)"/>
    </font>
    <font>
      <b/>
      <sz val="22"/>
      <color theme="1"/>
      <name val="Aptos Narrow"/>
      <scheme val="minor"/>
    </font>
    <font>
      <sz val="26"/>
      <color theme="1"/>
      <name val="Aptos Narrow"/>
      <scheme val="minor"/>
    </font>
    <font>
      <b/>
      <sz val="28"/>
      <color theme="1"/>
      <name val="Aptos Narrow"/>
      <scheme val="minor"/>
    </font>
    <font>
      <sz val="16"/>
      <color rgb="FF215C98"/>
      <name val="Aptos Narrow"/>
      <family val="2"/>
      <scheme val="minor"/>
    </font>
    <font>
      <b/>
      <sz val="10"/>
      <color theme="1"/>
      <name val="Aptos Narrow"/>
      <scheme val="minor"/>
    </font>
    <font>
      <sz val="16"/>
      <color theme="3" tint="0.499984740745262"/>
      <name val="Aptos Narrow"/>
      <scheme val="minor"/>
    </font>
    <font>
      <b/>
      <sz val="14"/>
      <color theme="3" tint="0.499984740745262"/>
      <name val="Aptos Narrow"/>
      <scheme val="minor"/>
    </font>
    <font>
      <b/>
      <sz val="30"/>
      <color rgb="FFFF0000"/>
      <name val="Aptos Narrow"/>
      <scheme val="minor"/>
    </font>
    <font>
      <sz val="30"/>
      <color rgb="FFFF0000"/>
      <name val="Aptos Narrow"/>
      <family val="2"/>
      <scheme val="minor"/>
    </font>
    <font>
      <sz val="35"/>
      <color rgb="FFFF0000"/>
      <name val="Aptos Narrow"/>
      <family val="2"/>
      <scheme val="minor"/>
    </font>
    <font>
      <b/>
      <sz val="18"/>
      <color theme="1"/>
      <name val="Aptos Narrow"/>
      <scheme val="minor"/>
    </font>
    <font>
      <sz val="10"/>
      <color theme="1"/>
      <name val="Aptos Narrow"/>
    </font>
    <font>
      <b/>
      <sz val="16"/>
      <color rgb="FF1F4E78"/>
      <name val="Aptos Narrow"/>
    </font>
    <font>
      <i/>
      <sz val="10"/>
      <color rgb="FF666666"/>
      <name val="Aptos Narrow"/>
    </font>
    <font>
      <b/>
      <sz val="10"/>
      <color rgb="FFFFFFFF"/>
      <name val="Aptos Narrow"/>
    </font>
    <font>
      <b/>
      <sz val="10"/>
      <color theme="1"/>
      <name val="Aptos Narrow"/>
    </font>
    <font>
      <sz val="10"/>
      <color rgb="FFFF0000"/>
      <name val="Aptos Narrow"/>
      <family val="2"/>
      <scheme val="minor"/>
    </font>
    <font>
      <sz val="10"/>
      <color rgb="FF000000"/>
      <name val="Aptos Narrow"/>
    </font>
    <font>
      <sz val="10"/>
      <color rgb="FF008000"/>
      <name val="Aptos Narrow"/>
    </font>
    <font>
      <sz val="10"/>
      <color rgb="FF0000FF"/>
      <name val="Aptos Narrow"/>
    </font>
    <font>
      <b/>
      <sz val="14"/>
      <color rgb="FFFFFFFF"/>
      <name val="Aptos Narrow"/>
    </font>
    <font>
      <sz val="20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26"/>
      <color theme="0"/>
      <name val="Aptos Narrow"/>
      <scheme val="minor"/>
    </font>
    <font>
      <b/>
      <sz val="10"/>
      <color theme="0"/>
      <name val="Aptos Narrow"/>
    </font>
    <font>
      <b/>
      <sz val="22"/>
      <color theme="0"/>
      <name val="Aptos Narrow"/>
      <scheme val="minor"/>
    </font>
    <font>
      <b/>
      <sz val="20"/>
      <color theme="0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F243E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theme="3" tint="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4" fillId="0" borderId="0"/>
  </cellStyleXfs>
  <cellXfs count="137">
    <xf numFmtId="0" fontId="0" fillId="0" borderId="0" xfId="0"/>
    <xf numFmtId="0" fontId="5" fillId="0" borderId="0" xfId="0" applyFont="1"/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center" vertical="center"/>
    </xf>
    <xf numFmtId="41" fontId="0" fillId="0" borderId="0" xfId="0" applyNumberFormat="1"/>
    <xf numFmtId="0" fontId="8" fillId="0" borderId="0" xfId="0" applyFont="1"/>
    <xf numFmtId="41" fontId="9" fillId="0" borderId="0" xfId="0" applyNumberFormat="1" applyFont="1" applyAlignment="1">
      <alignment horizontal="center" vertical="center"/>
    </xf>
    <xf numFmtId="43" fontId="7" fillId="0" borderId="0" xfId="0" applyNumberFormat="1" applyFont="1" applyAlignment="1">
      <alignment horizontal="center" vertical="center"/>
    </xf>
    <xf numFmtId="0" fontId="10" fillId="0" borderId="0" xfId="0" applyFont="1"/>
    <xf numFmtId="41" fontId="5" fillId="0" borderId="0" xfId="0" applyNumberFormat="1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2" fontId="6" fillId="0" borderId="0" xfId="0" applyNumberFormat="1" applyFont="1" applyAlignment="1">
      <alignment horizontal="center" vertical="center"/>
    </xf>
    <xf numFmtId="42" fontId="5" fillId="0" borderId="0" xfId="0" applyNumberFormat="1" applyFont="1" applyAlignment="1">
      <alignment horizontal="center" vertical="center"/>
    </xf>
    <xf numFmtId="42" fontId="5" fillId="0" borderId="0" xfId="0" applyNumberFormat="1" applyFont="1"/>
    <xf numFmtId="41" fontId="5" fillId="0" borderId="0" xfId="0" applyNumberFormat="1" applyFont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2" fontId="12" fillId="0" borderId="0" xfId="0" applyNumberFormat="1" applyFont="1" applyAlignment="1">
      <alignment horizontal="center" vertical="center"/>
    </xf>
    <xf numFmtId="41" fontId="12" fillId="0" borderId="0" xfId="0" applyNumberFormat="1" applyFont="1" applyAlignment="1">
      <alignment horizontal="center" vertical="center"/>
    </xf>
    <xf numFmtId="41" fontId="6" fillId="0" borderId="0" xfId="0" applyNumberFormat="1" applyFont="1" applyAlignment="1">
      <alignment horizontal="center" vertical="center"/>
    </xf>
    <xf numFmtId="42" fontId="11" fillId="0" borderId="0" xfId="0" applyNumberFormat="1" applyFont="1"/>
    <xf numFmtId="41" fontId="6" fillId="0" borderId="0" xfId="0" applyNumberFormat="1" applyFont="1"/>
    <xf numFmtId="41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/>
    </xf>
    <xf numFmtId="0" fontId="13" fillId="0" borderId="0" xfId="0" applyFont="1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8" fillId="0" borderId="0" xfId="0" applyNumberFormat="1" applyFont="1" applyAlignment="1">
      <alignment horizontal="center" vertical="center"/>
    </xf>
    <xf numFmtId="0" fontId="17" fillId="0" borderId="0" xfId="0" applyFont="1"/>
    <xf numFmtId="0" fontId="18" fillId="0" borderId="0" xfId="0" applyFont="1"/>
    <xf numFmtId="10" fontId="5" fillId="0" borderId="0" xfId="0" applyNumberFormat="1" applyFont="1"/>
    <xf numFmtId="10" fontId="0" fillId="0" borderId="0" xfId="0" applyNumberFormat="1"/>
    <xf numFmtId="1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3" fontId="0" fillId="0" borderId="0" xfId="0" applyNumberFormat="1"/>
    <xf numFmtId="0" fontId="11" fillId="0" borderId="0" xfId="0" applyFont="1" applyAlignment="1">
      <alignment horizontal="center" vertical="center"/>
    </xf>
    <xf numFmtId="43" fontId="21" fillId="0" borderId="0" xfId="0" applyNumberFormat="1" applyFont="1" applyAlignment="1">
      <alignment horizontal="center" vertical="center"/>
    </xf>
    <xf numFmtId="43" fontId="5" fillId="0" borderId="0" xfId="0" applyNumberFormat="1" applyFont="1" applyAlignment="1">
      <alignment vertical="center"/>
    </xf>
    <xf numFmtId="43" fontId="5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43" fontId="13" fillId="0" borderId="0" xfId="0" applyNumberFormat="1" applyFont="1" applyAlignment="1">
      <alignment horizontal="center" vertical="center"/>
    </xf>
    <xf numFmtId="41" fontId="13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43" fontId="23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0" fontId="18" fillId="0" borderId="0" xfId="0" applyNumberFormat="1" applyFont="1"/>
    <xf numFmtId="10" fontId="2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0" fontId="18" fillId="0" borderId="0" xfId="0" applyNumberFormat="1" applyFont="1" applyAlignment="1">
      <alignment horizontal="center" vertical="center"/>
    </xf>
    <xf numFmtId="43" fontId="5" fillId="0" borderId="0" xfId="0" applyNumberFormat="1" applyFont="1"/>
    <xf numFmtId="0" fontId="24" fillId="0" borderId="0" xfId="0" applyFont="1" applyAlignment="1">
      <alignment horizontal="center" vertical="center"/>
    </xf>
    <xf numFmtId="43" fontId="14" fillId="0" borderId="0" xfId="0" applyNumberFormat="1" applyFont="1" applyAlignment="1">
      <alignment horizontal="center" vertical="center"/>
    </xf>
    <xf numFmtId="43" fontId="27" fillId="0" borderId="0" xfId="0" applyNumberFormat="1" applyFont="1"/>
    <xf numFmtId="43" fontId="11" fillId="0" borderId="0" xfId="0" applyNumberFormat="1" applyFont="1" applyAlignment="1">
      <alignment vertical="center"/>
    </xf>
    <xf numFmtId="43" fontId="23" fillId="0" borderId="0" xfId="0" applyNumberFormat="1" applyFont="1" applyAlignment="1">
      <alignment vertical="center"/>
    </xf>
    <xf numFmtId="43" fontId="10" fillId="0" borderId="0" xfId="0" applyNumberFormat="1" applyFont="1" applyAlignment="1">
      <alignment vertical="center"/>
    </xf>
    <xf numFmtId="43" fontId="23" fillId="0" borderId="0" xfId="0" applyNumberFormat="1" applyFont="1"/>
    <xf numFmtId="43" fontId="13" fillId="0" borderId="0" xfId="0" applyNumberFormat="1" applyFont="1"/>
    <xf numFmtId="10" fontId="28" fillId="0" borderId="0" xfId="0" applyNumberFormat="1" applyFont="1" applyAlignment="1">
      <alignment horizontal="center" vertical="center"/>
    </xf>
    <xf numFmtId="43" fontId="28" fillId="0" borderId="0" xfId="0" applyNumberFormat="1" applyFont="1" applyAlignment="1">
      <alignment horizontal="center" vertical="center"/>
    </xf>
    <xf numFmtId="41" fontId="28" fillId="0" borderId="0" xfId="0" applyNumberFormat="1" applyFont="1" applyAlignment="1">
      <alignment horizontal="center" vertical="center"/>
    </xf>
    <xf numFmtId="43" fontId="28" fillId="0" borderId="0" xfId="0" applyNumberFormat="1" applyFont="1"/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3" fontId="29" fillId="0" borderId="0" xfId="0" applyNumberFormat="1" applyFont="1" applyAlignment="1">
      <alignment horizontal="center"/>
    </xf>
    <xf numFmtId="0" fontId="28" fillId="0" borderId="0" xfId="0" applyFont="1"/>
    <xf numFmtId="43" fontId="6" fillId="0" borderId="0" xfId="0" applyNumberFormat="1" applyFont="1" applyAlignment="1">
      <alignment horizontal="center" vertical="center"/>
    </xf>
    <xf numFmtId="41" fontId="15" fillId="0" borderId="0" xfId="0" applyNumberFormat="1" applyFont="1" applyAlignment="1">
      <alignment horizontal="center" vertical="center"/>
    </xf>
    <xf numFmtId="43" fontId="25" fillId="0" borderId="0" xfId="0" applyNumberFormat="1" applyFont="1" applyAlignment="1">
      <alignment horizontal="center" vertical="center"/>
    </xf>
    <xf numFmtId="43" fontId="0" fillId="0" borderId="0" xfId="0" applyNumberFormat="1" applyAlignment="1">
      <alignment vertical="center"/>
    </xf>
    <xf numFmtId="43" fontId="5" fillId="0" borderId="0" xfId="0" applyNumberFormat="1" applyFont="1" applyAlignment="1">
      <alignment vertical="top" wrapText="1"/>
    </xf>
    <xf numFmtId="43" fontId="5" fillId="0" borderId="0" xfId="0" applyNumberFormat="1" applyFont="1" applyAlignment="1">
      <alignment vertical="top"/>
    </xf>
    <xf numFmtId="0" fontId="35" fillId="0" borderId="0" xfId="1" applyFont="1" applyAlignment="1">
      <alignment vertical="center"/>
    </xf>
    <xf numFmtId="0" fontId="34" fillId="0" borderId="0" xfId="1" applyAlignment="1">
      <alignment vertical="center"/>
    </xf>
    <xf numFmtId="0" fontId="34" fillId="0" borderId="0" xfId="1"/>
    <xf numFmtId="0" fontId="36" fillId="0" borderId="0" xfId="1" applyFont="1" applyAlignment="1">
      <alignment vertical="center"/>
    </xf>
    <xf numFmtId="0" fontId="38" fillId="3" borderId="0" xfId="1" applyFont="1" applyFill="1" applyAlignment="1">
      <alignment vertical="center"/>
    </xf>
    <xf numFmtId="0" fontId="38" fillId="3" borderId="0" xfId="1" applyFont="1" applyFill="1" applyAlignment="1">
      <alignment horizontal="center" vertical="center"/>
    </xf>
    <xf numFmtId="10" fontId="38" fillId="3" borderId="0" xfId="1" applyNumberFormat="1" applyFont="1" applyFill="1" applyAlignment="1">
      <alignment horizontal="center" vertical="center"/>
    </xf>
    <xf numFmtId="0" fontId="38" fillId="0" borderId="0" xfId="1" applyFont="1" applyAlignment="1">
      <alignment vertical="center"/>
    </xf>
    <xf numFmtId="164" fontId="34" fillId="0" borderId="0" xfId="1" applyNumberFormat="1" applyAlignment="1">
      <alignment vertical="center"/>
    </xf>
    <xf numFmtId="10" fontId="34" fillId="0" borderId="0" xfId="1" applyNumberFormat="1" applyAlignment="1">
      <alignment vertical="center"/>
    </xf>
    <xf numFmtId="164" fontId="38" fillId="4" borderId="0" xfId="1" applyNumberFormat="1" applyFont="1" applyFill="1" applyAlignment="1">
      <alignment vertical="center"/>
    </xf>
    <xf numFmtId="43" fontId="39" fillId="0" borderId="0" xfId="0" applyNumberFormat="1" applyFont="1"/>
    <xf numFmtId="0" fontId="39" fillId="0" borderId="0" xfId="0" applyFont="1"/>
    <xf numFmtId="165" fontId="34" fillId="0" borderId="0" xfId="1" applyNumberFormat="1"/>
    <xf numFmtId="166" fontId="34" fillId="0" borderId="0" xfId="1" applyNumberFormat="1"/>
    <xf numFmtId="0" fontId="38" fillId="3" borderId="0" xfId="1" applyFont="1" applyFill="1" applyAlignment="1">
      <alignment horizontal="center" vertical="center" wrapText="1"/>
    </xf>
    <xf numFmtId="165" fontId="40" fillId="0" borderId="0" xfId="1" applyNumberFormat="1" applyFont="1"/>
    <xf numFmtId="167" fontId="40" fillId="0" borderId="0" xfId="1" applyNumberFormat="1" applyFont="1"/>
    <xf numFmtId="167" fontId="41" fillId="0" borderId="0" xfId="1" applyNumberFormat="1" applyFont="1"/>
    <xf numFmtId="166" fontId="41" fillId="0" borderId="0" xfId="1" applyNumberFormat="1" applyFont="1"/>
    <xf numFmtId="168" fontId="42" fillId="0" borderId="0" xfId="1" applyNumberFormat="1" applyFont="1"/>
    <xf numFmtId="0" fontId="7" fillId="0" borderId="0" xfId="0" applyFont="1"/>
    <xf numFmtId="0" fontId="44" fillId="0" borderId="0" xfId="0" applyFont="1"/>
    <xf numFmtId="0" fontId="44" fillId="0" borderId="0" xfId="0" applyFont="1" applyAlignment="1">
      <alignment horizontal="center" vertical="center"/>
    </xf>
    <xf numFmtId="43" fontId="44" fillId="0" borderId="0" xfId="0" applyNumberFormat="1" applyFont="1" applyAlignment="1">
      <alignment horizontal="center" vertical="center"/>
    </xf>
    <xf numFmtId="43" fontId="44" fillId="0" borderId="0" xfId="0" applyNumberFormat="1" applyFont="1"/>
    <xf numFmtId="0" fontId="0" fillId="6" borderId="0" xfId="0" applyFill="1"/>
    <xf numFmtId="0" fontId="45" fillId="6" borderId="0" xfId="0" applyFont="1" applyFill="1"/>
    <xf numFmtId="0" fontId="47" fillId="6" borderId="0" xfId="0" applyFont="1" applyFill="1"/>
    <xf numFmtId="0" fontId="48" fillId="6" borderId="0" xfId="0" applyFont="1" applyFill="1"/>
    <xf numFmtId="0" fontId="49" fillId="6" borderId="0" xfId="0" applyFont="1" applyFill="1" applyAlignment="1">
      <alignment horizontal="center" vertical="center"/>
    </xf>
    <xf numFmtId="43" fontId="49" fillId="6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46" fillId="6" borderId="0" xfId="0" applyFont="1" applyFill="1" applyAlignment="1">
      <alignment horizontal="center" vertical="center"/>
    </xf>
    <xf numFmtId="43" fontId="32" fillId="0" borderId="0" xfId="0" applyNumberFormat="1" applyFont="1" applyAlignment="1">
      <alignment horizontal="center"/>
    </xf>
    <xf numFmtId="0" fontId="32" fillId="0" borderId="0" xfId="0" applyFont="1" applyAlignment="1">
      <alignment horizontal="center"/>
    </xf>
    <xf numFmtId="43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3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4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43" fontId="30" fillId="0" borderId="0" xfId="0" applyNumberFormat="1" applyFont="1" applyAlignment="1">
      <alignment horizontal="center" vertical="center"/>
    </xf>
    <xf numFmtId="8" fontId="15" fillId="0" borderId="0" xfId="0" applyNumberFormat="1" applyFont="1" applyAlignment="1">
      <alignment horizontal="center" vertical="center"/>
    </xf>
    <xf numFmtId="43" fontId="15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top" wrapText="1"/>
    </xf>
    <xf numFmtId="43" fontId="23" fillId="0" borderId="0" xfId="0" applyNumberFormat="1" applyFont="1" applyAlignment="1">
      <alignment horizontal="center" vertical="center"/>
    </xf>
    <xf numFmtId="8" fontId="23" fillId="0" borderId="0" xfId="0" applyNumberFormat="1" applyFont="1" applyAlignment="1">
      <alignment horizontal="center" vertical="center"/>
    </xf>
    <xf numFmtId="0" fontId="43" fillId="5" borderId="0" xfId="1" applyFont="1" applyFill="1" applyAlignment="1">
      <alignment horizontal="center"/>
    </xf>
    <xf numFmtId="0" fontId="37" fillId="5" borderId="0" xfId="1" applyFont="1" applyFill="1"/>
    <xf numFmtId="0" fontId="36" fillId="0" borderId="0" xfId="1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7" fillId="2" borderId="0" xfId="1" applyFont="1" applyFill="1" applyAlignment="1">
      <alignment horizontal="left" vertical="center"/>
    </xf>
  </cellXfs>
  <cellStyles count="2">
    <cellStyle name="Normal" xfId="0" builtinId="0"/>
    <cellStyle name="Normal 2" xfId="1" xr:uid="{FEE13E15-208C-6347-9A17-BBB7A3B15501}"/>
  </cellStyles>
  <dxfs count="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3200"/>
              <a:t>Revene Growth from FY2022 to FY 2026</a:t>
            </a:r>
          </a:p>
          <a:p>
            <a:pPr>
              <a:defRPr sz="3200"/>
            </a:pPr>
            <a:endParaRPr lang="en-US" sz="3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JP"/>
        </a:p>
      </c:txPr>
    </c:title>
    <c:autoTitleDeleted val="0"/>
    <c:plotArea>
      <c:layout>
        <c:manualLayout>
          <c:layoutTarget val="inner"/>
          <c:xMode val="edge"/>
          <c:yMode val="edge"/>
          <c:x val="5.328375619714202E-2"/>
          <c:y val="0.13954545454545456"/>
          <c:w val="0.94671624380285802"/>
          <c:h val="0.8290820666133310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'Historical Financials'!$D$1:$H$1</c:f>
              <c:strCache>
                <c:ptCount val="5"/>
                <c:pt idx="0">
                  <c:v>FY 2022</c:v>
                </c:pt>
                <c:pt idx="1">
                  <c:v>FY 2023</c:v>
                </c:pt>
                <c:pt idx="2">
                  <c:v>FY 2024</c:v>
                </c:pt>
                <c:pt idx="3">
                  <c:v>FY 2025</c:v>
                </c:pt>
                <c:pt idx="4">
                  <c:v>FY 2026</c:v>
                </c:pt>
              </c:strCache>
            </c:strRef>
          </c:cat>
          <c:val>
            <c:numRef>
              <c:f>'Historical Financials'!$D$8:$H$8</c:f>
              <c:numCache>
                <c:formatCode>_(* #,##0_);_(* \(#,##0\);_(* "-"_);_(@_)</c:formatCode>
                <c:ptCount val="5"/>
                <c:pt idx="0">
                  <c:v>42440</c:v>
                </c:pt>
                <c:pt idx="1">
                  <c:v>49954</c:v>
                </c:pt>
                <c:pt idx="2">
                  <c:v>52961</c:v>
                </c:pt>
                <c:pt idx="3">
                  <c:v>57399</c:v>
                </c:pt>
                <c:pt idx="4">
                  <c:v>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7A-D04D-ADD5-94CD4F3B5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8349695"/>
        <c:axId val="372037759"/>
      </c:lineChart>
      <c:catAx>
        <c:axId val="268349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>
            <a:glow>
              <a:schemeClr val="accent1">
                <a:alpha val="40000"/>
              </a:schemeClr>
            </a:glow>
            <a:softEdge rad="0"/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119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372037759"/>
        <c:crosses val="autoZero"/>
        <c:auto val="1"/>
        <c:lblAlgn val="ctr"/>
        <c:lblOffset val="100"/>
        <c:noMultiLvlLbl val="0"/>
      </c:catAx>
      <c:valAx>
        <c:axId val="372037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9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68349695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90" baseline="0">
          <a:solidFill>
            <a:schemeClr val="tx1"/>
          </a:solidFill>
        </a:defRPr>
      </a:pPr>
      <a:endParaRPr lang="en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000"/>
              <a:t>FCF From</a:t>
            </a:r>
            <a:r>
              <a:rPr lang="en-US" sz="4000" baseline="0"/>
              <a:t> FY 2022 to FY 2026</a:t>
            </a:r>
            <a:endParaRPr lang="en-US" sz="4000"/>
          </a:p>
        </c:rich>
      </c:tx>
      <c:layout>
        <c:manualLayout>
          <c:xMode val="edge"/>
          <c:yMode val="edge"/>
          <c:x val="0.3422501950169014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'Historical Financials'!$B$113</c:f>
              <c:strCache>
                <c:ptCount val="1"/>
                <c:pt idx="0">
                  <c:v>FCF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'Historical Financials'!$D$1:$H$1</c:f>
              <c:strCache>
                <c:ptCount val="5"/>
                <c:pt idx="0">
                  <c:v>FY 2022</c:v>
                </c:pt>
                <c:pt idx="1">
                  <c:v>FY 2023</c:v>
                </c:pt>
                <c:pt idx="2">
                  <c:v>FY 2024</c:v>
                </c:pt>
                <c:pt idx="3">
                  <c:v>FY 2025</c:v>
                </c:pt>
                <c:pt idx="4">
                  <c:v>FY 2026</c:v>
                </c:pt>
              </c:strCache>
            </c:strRef>
          </c:cat>
          <c:val>
            <c:numRef>
              <c:f>'Historical Financials'!$C$113:$G$113</c:f>
              <c:numCache>
                <c:formatCode>_(* #,##0_);_(* \(#,##0\);_(* "-"_);_(@_)</c:formatCode>
                <c:ptCount val="5"/>
                <c:pt idx="0">
                  <c:v>5028</c:v>
                </c:pt>
                <c:pt idx="1">
                  <c:v>8470</c:v>
                </c:pt>
                <c:pt idx="2">
                  <c:v>11807</c:v>
                </c:pt>
                <c:pt idx="3">
                  <c:v>-394</c:v>
                </c:pt>
                <c:pt idx="4">
                  <c:v>-23686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E-874E-9B25-4E4AB6E75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7069055"/>
        <c:axId val="218833663"/>
      </c:lineChart>
      <c:catAx>
        <c:axId val="267069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8833663"/>
        <c:crosses val="autoZero"/>
        <c:auto val="1"/>
        <c:lblAlgn val="ctr"/>
        <c:lblOffset val="100"/>
        <c:noMultiLvlLbl val="0"/>
      </c:catAx>
      <c:valAx>
        <c:axId val="218833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67069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Oracle</a:t>
            </a:r>
            <a:r>
              <a:rPr lang="en-US" baseline="0"/>
              <a:t> Valuation Football Field</a:t>
            </a:r>
          </a:p>
          <a:p>
            <a:pPr>
              <a:defRPr/>
            </a:pPr>
            <a:r>
              <a:rPr lang="en-US" baseline="0"/>
              <a:t>Implied Shares Price Range($)</a:t>
            </a: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JP"/>
        </a:p>
      </c:txPr>
    </c:title>
    <c:autoTitleDeleted val="0"/>
    <c:plotArea>
      <c:layout>
        <c:manualLayout>
          <c:layoutTarget val="inner"/>
          <c:xMode val="edge"/>
          <c:yMode val="edge"/>
          <c:x val="0.11434514435695539"/>
          <c:y val="0.17168999708369789"/>
          <c:w val="0.81702996500437441"/>
          <c:h val="0.6153776611256925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'Football Field Chart'!$B$23</c:f>
              <c:strCache>
                <c:ptCount val="1"/>
                <c:pt idx="0">
                  <c:v>Start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B8-DB4A-ADC6-DF4DE3CBA4A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54-954C-93C5-6F0A2A644B0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F3B8-DB4A-ADC6-DF4DE3CBA4AF}"/>
              </c:ext>
            </c:extLst>
          </c:dPt>
          <c:cat>
            <c:strRef>
              <c:f>'Football Field Chart'!$A$24:$A$26</c:f>
              <c:strCache>
                <c:ptCount val="3"/>
                <c:pt idx="0">
                  <c:v>DCF+P/E Blend</c:v>
                </c:pt>
                <c:pt idx="1">
                  <c:v>EV/EBITDA</c:v>
                </c:pt>
                <c:pt idx="2">
                  <c:v>DCF+ Trading Comps</c:v>
                </c:pt>
              </c:strCache>
            </c:strRef>
          </c:cat>
          <c:val>
            <c:numRef>
              <c:f>'Football Field Chart'!$B$24:$B$26</c:f>
              <c:numCache>
                <c:formatCode>_(* #,##0.00_);_(* \(#,##0.00\);_(* "-"??_);_(@_)</c:formatCode>
                <c:ptCount val="3"/>
                <c:pt idx="0">
                  <c:v>101.42021792047309</c:v>
                </c:pt>
                <c:pt idx="1">
                  <c:v>89.344615628420442</c:v>
                </c:pt>
                <c:pt idx="2">
                  <c:v>176.77575031634737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8-DB4A-ADC6-DF4DE3CBA4AF}"/>
            </c:ext>
          </c:extLst>
        </c:ser>
        <c:ser>
          <c:idx val="1"/>
          <c:order val="1"/>
          <c:tx>
            <c:strRef>
              <c:f>'Football Field Chart'!$C$23</c:f>
              <c:strCache>
                <c:ptCount val="1"/>
                <c:pt idx="0">
                  <c:v>Range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'Football Field Chart'!$A$24:$A$26</c:f>
              <c:strCache>
                <c:ptCount val="3"/>
                <c:pt idx="0">
                  <c:v>DCF+P/E Blend</c:v>
                </c:pt>
                <c:pt idx="1">
                  <c:v>EV/EBITDA</c:v>
                </c:pt>
                <c:pt idx="2">
                  <c:v>DCF+ Trading Comps</c:v>
                </c:pt>
              </c:strCache>
            </c:strRef>
          </c:cat>
          <c:val>
            <c:numRef>
              <c:f>'Football Field Chart'!$C$24:$C$26</c:f>
              <c:numCache>
                <c:formatCode>_(* #,##0.00_);_(* \(#,##0.00\);_(* "-"??_);_(@_)</c:formatCode>
                <c:ptCount val="3"/>
                <c:pt idx="0">
                  <c:v>173.35925928997113</c:v>
                </c:pt>
                <c:pt idx="1">
                  <c:v>274.13484846796445</c:v>
                </c:pt>
                <c:pt idx="2">
                  <c:v>161.24552285156906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B8-DB4A-ADC6-DF4DE3CBA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21138624"/>
        <c:axId val="1021147136"/>
      </c:barChart>
      <c:catAx>
        <c:axId val="1021138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1021147136"/>
        <c:crosses val="autoZero"/>
        <c:auto val="1"/>
        <c:lblAlgn val="ctr"/>
        <c:lblOffset val="100"/>
        <c:noMultiLvlLbl val="0"/>
      </c:catAx>
      <c:valAx>
        <c:axId val="1021147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102113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_xlchart.v5.0</cx:f>
      </cx:strDim>
      <cx:numDim type="val">
        <cx:f>_xlchart.v5.1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3600"/>
            </a:pPr>
            <a:r>
              <a:rPr lang="en-US" sz="36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</a:rPr>
              <a:t>Income Statement FY 2026</a:t>
            </a:r>
          </a:p>
          <a:p>
            <a:pPr algn="ctr" rtl="0">
              <a:defRPr sz="3600"/>
            </a:pPr>
            <a:endParaRPr lang="en-US" sz="36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endParaRPr>
          </a:p>
        </cx:rich>
      </cx:tx>
    </cx:title>
    <cx:plotArea>
      <cx:plotAreaRegion>
        <cx:series layoutId="waterfall" uniqueId="{00000000-14EE-D74C-A05E-C9E05DCA0FAD}">
          <cx:dataPt idx="19"/>
          <cx:dataLabels pos="outEnd">
            <cx:visibility seriesName="0" categoryName="0" value="1"/>
          </cx:dataLabels>
          <cx:dataId val="0"/>
          <cx:layoutPr>
            <cx:subtotals>
              <cx:idx val="19"/>
            </cx:subtotals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</cx:axis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200"/>
          </a:pPr>
          <a:endParaRPr lang="en-US" sz="12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Aptos Narrow" panose="02110004020202020204"/>
          </a:endParaRPr>
        </a:p>
      </cx:txPr>
    </cx:legend>
  </cx:chart>
  <cx:fmtOvrs>
    <cx:fmtOvr idx="2"/>
  </cx:fmtOvr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546099</xdr:colOff>
      <xdr:row>3</xdr:row>
      <xdr:rowOff>114300</xdr:rowOff>
    </xdr:from>
    <xdr:to>
      <xdr:col>12</xdr:col>
      <xdr:colOff>174868</xdr:colOff>
      <xdr:row>9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A53738-91DF-68C9-0EE9-A9F22A006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099" y="647700"/>
          <a:ext cx="8010769" cy="1041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352776</xdr:colOff>
      <xdr:row>75</xdr:row>
      <xdr:rowOff>35277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F025B202-A92A-7643-864F-1DD727EE817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15169443" cy="1326444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21</xdr:col>
      <xdr:colOff>393700</xdr:colOff>
      <xdr:row>0</xdr:row>
      <xdr:rowOff>111478</xdr:rowOff>
    </xdr:from>
    <xdr:to>
      <xdr:col>42</xdr:col>
      <xdr:colOff>221545</xdr:colOff>
      <xdr:row>75</xdr:row>
      <xdr:rowOff>35278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373211B-E7E0-EC48-8453-3E37F83C2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388056</xdr:colOff>
      <xdr:row>75</xdr:row>
      <xdr:rowOff>25400</xdr:rowOff>
    </xdr:from>
    <xdr:to>
      <xdr:col>21</xdr:col>
      <xdr:colOff>451556</xdr:colOff>
      <xdr:row>141</xdr:row>
      <xdr:rowOff>171451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008930C-0059-674F-B5C4-4CFFAC0A3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6703</xdr:colOff>
      <xdr:row>0</xdr:row>
      <xdr:rowOff>24042</xdr:rowOff>
    </xdr:from>
    <xdr:to>
      <xdr:col>5</xdr:col>
      <xdr:colOff>1169063</xdr:colOff>
      <xdr:row>16</xdr:row>
      <xdr:rowOff>190690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C2707E-863A-43D5-4971-56D5E138C2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1084145</xdr:colOff>
      <xdr:row>9</xdr:row>
      <xdr:rowOff>123902</xdr:rowOff>
    </xdr:from>
    <xdr:to>
      <xdr:col>5</xdr:col>
      <xdr:colOff>507999</xdr:colOff>
      <xdr:row>10</xdr:row>
      <xdr:rowOff>139390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6A47FAF-5ADD-B159-2C16-6CB0CBBE4E86}"/>
            </a:ext>
          </a:extLst>
        </xdr:cNvPr>
        <xdr:cNvSpPr txBox="1"/>
      </xdr:nvSpPr>
      <xdr:spPr>
        <a:xfrm>
          <a:off x="6748345" y="2790902"/>
          <a:ext cx="761587" cy="3118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338.03</a:t>
          </a:r>
        </a:p>
        <a:p>
          <a:endParaRPr lang="en-US" sz="1100"/>
        </a:p>
      </xdr:txBody>
    </xdr:sp>
    <xdr:clientData/>
  </xdr:twoCellAnchor>
  <xdr:twoCellAnchor>
    <xdr:from>
      <xdr:col>2</xdr:col>
      <xdr:colOff>214045</xdr:colOff>
      <xdr:row>9</xdr:row>
      <xdr:rowOff>57079</xdr:rowOff>
    </xdr:from>
    <xdr:to>
      <xdr:col>2</xdr:col>
      <xdr:colOff>964978</xdr:colOff>
      <xdr:row>10</xdr:row>
      <xdr:rowOff>72567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1CD9339-F901-0D4C-8FBF-F34FDBF4AB87}"/>
            </a:ext>
          </a:extLst>
        </xdr:cNvPr>
        <xdr:cNvSpPr txBox="1"/>
      </xdr:nvSpPr>
      <xdr:spPr>
        <a:xfrm>
          <a:off x="3196405" y="2625618"/>
          <a:ext cx="750933" cy="3008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176.78</a:t>
          </a:r>
        </a:p>
        <a:p>
          <a:endParaRPr lang="en-US" altLang="zh-CN" sz="1100"/>
        </a:p>
        <a:p>
          <a:endParaRPr lang="en-US" sz="1100"/>
        </a:p>
      </xdr:txBody>
    </xdr:sp>
    <xdr:clientData/>
  </xdr:twoCellAnchor>
  <xdr:twoCellAnchor>
    <xdr:from>
      <xdr:col>1</xdr:col>
      <xdr:colOff>295097</xdr:colOff>
      <xdr:row>16</xdr:row>
      <xdr:rowOff>23973</xdr:rowOff>
    </xdr:from>
    <xdr:to>
      <xdr:col>1</xdr:col>
      <xdr:colOff>1046030</xdr:colOff>
      <xdr:row>17</xdr:row>
      <xdr:rowOff>39462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6DF9156-7242-2749-970B-DEAEB14D86E7}"/>
            </a:ext>
          </a:extLst>
        </xdr:cNvPr>
        <xdr:cNvSpPr txBox="1"/>
      </xdr:nvSpPr>
      <xdr:spPr>
        <a:xfrm>
          <a:off x="1950378" y="4590265"/>
          <a:ext cx="750933" cy="3008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101.42</a:t>
          </a:r>
        </a:p>
        <a:p>
          <a:endParaRPr lang="en-US" sz="1100"/>
        </a:p>
      </xdr:txBody>
    </xdr:sp>
    <xdr:clientData/>
  </xdr:twoCellAnchor>
  <xdr:twoCellAnchor>
    <xdr:from>
      <xdr:col>4</xdr:col>
      <xdr:colOff>62216</xdr:colOff>
      <xdr:row>16</xdr:row>
      <xdr:rowOff>76486</xdr:rowOff>
    </xdr:from>
    <xdr:to>
      <xdr:col>4</xdr:col>
      <xdr:colOff>813149</xdr:colOff>
      <xdr:row>17</xdr:row>
      <xdr:rowOff>91975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BA5BDBB-B148-744A-AB07-CC35F18DA93D}"/>
            </a:ext>
          </a:extLst>
        </xdr:cNvPr>
        <xdr:cNvSpPr txBox="1"/>
      </xdr:nvSpPr>
      <xdr:spPr>
        <a:xfrm>
          <a:off x="5698733" y="4642778"/>
          <a:ext cx="750933" cy="3008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274.78</a:t>
          </a:r>
        </a:p>
        <a:p>
          <a:endParaRPr lang="en-US" sz="1100"/>
        </a:p>
      </xdr:txBody>
    </xdr:sp>
    <xdr:clientData/>
  </xdr:twoCellAnchor>
  <xdr:twoCellAnchor>
    <xdr:from>
      <xdr:col>1</xdr:col>
      <xdr:colOff>57650</xdr:colOff>
      <xdr:row>12</xdr:row>
      <xdr:rowOff>186077</xdr:rowOff>
    </xdr:from>
    <xdr:to>
      <xdr:col>1</xdr:col>
      <xdr:colOff>808583</xdr:colOff>
      <xdr:row>13</xdr:row>
      <xdr:rowOff>201566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B451ECE4-4B74-4F41-9E1C-10CEE1B5D3C4}"/>
            </a:ext>
          </a:extLst>
        </xdr:cNvPr>
        <xdr:cNvSpPr txBox="1"/>
      </xdr:nvSpPr>
      <xdr:spPr>
        <a:xfrm>
          <a:off x="1712931" y="3610796"/>
          <a:ext cx="750933" cy="3008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89.34</a:t>
          </a:r>
          <a:endParaRPr lang="en-US" sz="1100"/>
        </a:p>
      </xdr:txBody>
    </xdr:sp>
    <xdr:clientData/>
  </xdr:twoCellAnchor>
  <xdr:twoCellAnchor>
    <xdr:from>
      <xdr:col>5</xdr:col>
      <xdr:colOff>224319</xdr:colOff>
      <xdr:row>12</xdr:row>
      <xdr:rowOff>210049</xdr:rowOff>
    </xdr:from>
    <xdr:to>
      <xdr:col>5</xdr:col>
      <xdr:colOff>975252</xdr:colOff>
      <xdr:row>13</xdr:row>
      <xdr:rowOff>225538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BE85BA1-F462-924B-A58F-D086E981E45E}"/>
            </a:ext>
          </a:extLst>
        </xdr:cNvPr>
        <xdr:cNvSpPr txBox="1"/>
      </xdr:nvSpPr>
      <xdr:spPr>
        <a:xfrm>
          <a:off x="7187915" y="3634768"/>
          <a:ext cx="750933" cy="3008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363.47</a:t>
          </a:r>
          <a:endParaRPr lang="en-US" sz="1100"/>
        </a:p>
      </xdr:txBody>
    </xdr:sp>
    <xdr:clientData/>
  </xdr:twoCellAnchor>
  <xdr:oneCellAnchor>
    <xdr:from>
      <xdr:col>3</xdr:col>
      <xdr:colOff>99317</xdr:colOff>
      <xdr:row>14</xdr:row>
      <xdr:rowOff>63642</xdr:rowOff>
    </xdr:from>
    <xdr:ext cx="65" cy="172098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6491127-1C9E-932F-409C-3E50E48EA391}"/>
            </a:ext>
          </a:extLst>
        </xdr:cNvPr>
        <xdr:cNvSpPr txBox="1"/>
      </xdr:nvSpPr>
      <xdr:spPr>
        <a:xfrm>
          <a:off x="4408755" y="4059148"/>
          <a:ext cx="65" cy="172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795909</xdr:colOff>
      <xdr:row>9</xdr:row>
      <xdr:rowOff>177035</xdr:rowOff>
    </xdr:from>
    <xdr:to>
      <xdr:col>3</xdr:col>
      <xdr:colOff>881527</xdr:colOff>
      <xdr:row>10</xdr:row>
      <xdr:rowOff>5799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BE580269-CAB0-DE10-4F74-7EFEC44C1261}"/>
            </a:ext>
          </a:extLst>
        </xdr:cNvPr>
        <xdr:cNvSpPr/>
      </xdr:nvSpPr>
      <xdr:spPr>
        <a:xfrm>
          <a:off x="5116229" y="2786624"/>
          <a:ext cx="85618" cy="118718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369306</xdr:colOff>
      <xdr:row>13</xdr:row>
      <xdr:rowOff>18399</xdr:rowOff>
    </xdr:from>
    <xdr:to>
      <xdr:col>3</xdr:col>
      <xdr:colOff>454924</xdr:colOff>
      <xdr:row>13</xdr:row>
      <xdr:rowOff>132557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CA2383AD-748D-CA44-B04E-6681B2F7FB76}"/>
            </a:ext>
          </a:extLst>
        </xdr:cNvPr>
        <xdr:cNvSpPr/>
      </xdr:nvSpPr>
      <xdr:spPr>
        <a:xfrm>
          <a:off x="4689626" y="3787805"/>
          <a:ext cx="85618" cy="114158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923054</xdr:colOff>
      <xdr:row>16</xdr:row>
      <xdr:rowOff>119660</xdr:rowOff>
    </xdr:from>
    <xdr:to>
      <xdr:col>2</xdr:col>
      <xdr:colOff>1008672</xdr:colOff>
      <xdr:row>16</xdr:row>
      <xdr:rowOff>231278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CD646D4E-542A-784B-81DF-610D7CFD28C7}"/>
            </a:ext>
          </a:extLst>
        </xdr:cNvPr>
        <xdr:cNvSpPr/>
      </xdr:nvSpPr>
      <xdr:spPr>
        <a:xfrm>
          <a:off x="3909584" y="4758929"/>
          <a:ext cx="85618" cy="111618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6F2F2-24A5-AC4D-821B-50B424EDC4A8}">
  <dimension ref="A1:R46"/>
  <sheetViews>
    <sheetView topLeftCell="A5" zoomScale="90" workbookViewId="0">
      <selection activeCell="U31" sqref="U31"/>
    </sheetView>
  </sheetViews>
  <sheetFormatPr baseColWidth="10" defaultRowHeight="14" x14ac:dyDescent="0.2"/>
  <sheetData>
    <row r="1" spans="1:18" x14ac:dyDescent="0.2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4" t="s">
        <v>1</v>
      </c>
      <c r="O1" s="113"/>
      <c r="P1" s="113"/>
      <c r="Q1" s="113"/>
      <c r="R1" s="113"/>
    </row>
    <row r="2" spans="1:18" x14ac:dyDescent="0.2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</row>
    <row r="3" spans="1:18" x14ac:dyDescent="0.2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8" x14ac:dyDescent="0.2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</row>
    <row r="5" spans="1:18" x14ac:dyDescent="0.2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</row>
    <row r="6" spans="1:18" x14ac:dyDescent="0.2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</row>
    <row r="7" spans="1:18" x14ac:dyDescent="0.2">
      <c r="A7" s="113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</row>
    <row r="8" spans="1:18" x14ac:dyDescent="0.2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</row>
    <row r="9" spans="1:18" x14ac:dyDescent="0.2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</row>
    <row r="10" spans="1:18" x14ac:dyDescent="0.2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</row>
    <row r="11" spans="1:18" ht="14" customHeight="1" x14ac:dyDescent="0.2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5" t="s">
        <v>220</v>
      </c>
      <c r="O11" s="115"/>
      <c r="P11" s="115"/>
      <c r="Q11" s="115"/>
      <c r="R11" s="115"/>
    </row>
    <row r="12" spans="1:18" x14ac:dyDescent="0.2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5"/>
      <c r="O12" s="115"/>
      <c r="P12" s="115"/>
      <c r="Q12" s="115"/>
      <c r="R12" s="115"/>
    </row>
    <row r="13" spans="1:18" x14ac:dyDescent="0.2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5"/>
      <c r="O13" s="115"/>
      <c r="P13" s="115"/>
      <c r="Q13" s="115"/>
      <c r="R13" s="115"/>
    </row>
    <row r="14" spans="1:18" x14ac:dyDescent="0.2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5"/>
      <c r="O14" s="115"/>
      <c r="P14" s="115"/>
      <c r="Q14" s="115"/>
      <c r="R14" s="115"/>
    </row>
    <row r="15" spans="1:18" x14ac:dyDescent="0.2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5"/>
      <c r="O15" s="115"/>
      <c r="P15" s="115"/>
      <c r="Q15" s="115"/>
      <c r="R15" s="115"/>
    </row>
    <row r="16" spans="1:18" x14ac:dyDescent="0.2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5"/>
      <c r="O16" s="115"/>
      <c r="P16" s="115"/>
      <c r="Q16" s="115"/>
      <c r="R16" s="115"/>
    </row>
    <row r="17" spans="1:18" x14ac:dyDescent="0.2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5"/>
      <c r="O17" s="115"/>
      <c r="P17" s="115"/>
      <c r="Q17" s="115"/>
      <c r="R17" s="115"/>
    </row>
    <row r="18" spans="1:18" x14ac:dyDescent="0.2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5"/>
      <c r="O18" s="115"/>
      <c r="P18" s="115"/>
      <c r="Q18" s="115"/>
      <c r="R18" s="115"/>
    </row>
    <row r="19" spans="1:18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5"/>
      <c r="O19" s="115"/>
      <c r="P19" s="115"/>
      <c r="Q19" s="115"/>
      <c r="R19" s="115"/>
    </row>
    <row r="20" spans="1:18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5"/>
      <c r="O20" s="115"/>
      <c r="P20" s="115"/>
      <c r="Q20" s="115"/>
      <c r="R20" s="115"/>
    </row>
    <row r="21" spans="1:18" x14ac:dyDescent="0.2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5"/>
      <c r="O21" s="115"/>
      <c r="P21" s="115"/>
      <c r="Q21" s="115"/>
      <c r="R21" s="115"/>
    </row>
    <row r="22" spans="1:18" x14ac:dyDescent="0.2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5"/>
      <c r="O22" s="115"/>
      <c r="P22" s="115"/>
      <c r="Q22" s="115"/>
      <c r="R22" s="115"/>
    </row>
    <row r="23" spans="1:18" x14ac:dyDescent="0.2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5"/>
      <c r="O23" s="115"/>
      <c r="P23" s="115"/>
      <c r="Q23" s="115"/>
      <c r="R23" s="115"/>
    </row>
    <row r="24" spans="1:18" x14ac:dyDescent="0.2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5"/>
      <c r="O24" s="115"/>
      <c r="P24" s="115"/>
      <c r="Q24" s="115"/>
      <c r="R24" s="115"/>
    </row>
    <row r="25" spans="1:18" x14ac:dyDescent="0.2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5"/>
      <c r="O25" s="115"/>
      <c r="P25" s="115"/>
      <c r="Q25" s="115"/>
      <c r="R25" s="115"/>
    </row>
    <row r="26" spans="1:18" x14ac:dyDescent="0.2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5"/>
      <c r="O26" s="115"/>
      <c r="P26" s="115"/>
      <c r="Q26" s="115"/>
      <c r="R26" s="115"/>
    </row>
    <row r="27" spans="1:18" x14ac:dyDescent="0.2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5"/>
      <c r="O27" s="115"/>
      <c r="P27" s="115"/>
      <c r="Q27" s="115"/>
      <c r="R27" s="115"/>
    </row>
    <row r="28" spans="1:18" x14ac:dyDescent="0.2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5"/>
      <c r="O28" s="115"/>
      <c r="P28" s="115"/>
      <c r="Q28" s="115"/>
      <c r="R28" s="115"/>
    </row>
    <row r="29" spans="1:18" x14ac:dyDescent="0.2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5"/>
      <c r="O29" s="115"/>
      <c r="P29" s="115"/>
      <c r="Q29" s="115"/>
      <c r="R29" s="115"/>
    </row>
    <row r="30" spans="1:18" x14ac:dyDescent="0.2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5"/>
      <c r="O30" s="115"/>
      <c r="P30" s="115"/>
      <c r="Q30" s="115"/>
      <c r="R30" s="115"/>
    </row>
    <row r="31" spans="1:18" x14ac:dyDescent="0.2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5"/>
      <c r="O31" s="115"/>
      <c r="P31" s="115"/>
      <c r="Q31" s="115"/>
      <c r="R31" s="115"/>
    </row>
    <row r="32" spans="1:18" x14ac:dyDescent="0.2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5"/>
      <c r="O32" s="115"/>
      <c r="P32" s="115"/>
      <c r="Q32" s="115"/>
      <c r="R32" s="115"/>
    </row>
    <row r="33" spans="1:18" x14ac:dyDescent="0.2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5"/>
      <c r="O33" s="115"/>
      <c r="P33" s="115"/>
      <c r="Q33" s="115"/>
      <c r="R33" s="115"/>
    </row>
    <row r="34" spans="1:18" x14ac:dyDescent="0.2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5"/>
      <c r="O34" s="115"/>
      <c r="P34" s="115"/>
      <c r="Q34" s="115"/>
      <c r="R34" s="115"/>
    </row>
    <row r="35" spans="1:18" x14ac:dyDescent="0.2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5"/>
      <c r="O35" s="115"/>
      <c r="P35" s="115"/>
      <c r="Q35" s="115"/>
      <c r="R35" s="115"/>
    </row>
    <row r="36" spans="1:18" x14ac:dyDescent="0.2">
      <c r="N36" s="115"/>
      <c r="O36" s="115"/>
      <c r="P36" s="115"/>
      <c r="Q36" s="115"/>
      <c r="R36" s="115"/>
    </row>
    <row r="37" spans="1:18" x14ac:dyDescent="0.2">
      <c r="N37" s="115"/>
      <c r="O37" s="115"/>
      <c r="P37" s="115"/>
      <c r="Q37" s="115"/>
      <c r="R37" s="115"/>
    </row>
    <row r="38" spans="1:18" x14ac:dyDescent="0.2">
      <c r="N38" s="115"/>
      <c r="O38" s="115"/>
      <c r="P38" s="115"/>
      <c r="Q38" s="115"/>
      <c r="R38" s="115"/>
    </row>
    <row r="39" spans="1:18" x14ac:dyDescent="0.2">
      <c r="N39" s="115"/>
      <c r="O39" s="115"/>
      <c r="P39" s="115"/>
      <c r="Q39" s="115"/>
      <c r="R39" s="115"/>
    </row>
    <row r="40" spans="1:18" x14ac:dyDescent="0.2">
      <c r="N40" s="115"/>
      <c r="O40" s="115"/>
      <c r="P40" s="115"/>
      <c r="Q40" s="115"/>
      <c r="R40" s="115"/>
    </row>
    <row r="41" spans="1:18" x14ac:dyDescent="0.2">
      <c r="N41" s="115"/>
      <c r="O41" s="115"/>
      <c r="P41" s="115"/>
      <c r="Q41" s="115"/>
      <c r="R41" s="115"/>
    </row>
    <row r="42" spans="1:18" x14ac:dyDescent="0.2">
      <c r="N42" s="115"/>
      <c r="O42" s="115"/>
      <c r="P42" s="115"/>
      <c r="Q42" s="115"/>
      <c r="R42" s="115"/>
    </row>
    <row r="43" spans="1:18" x14ac:dyDescent="0.2">
      <c r="N43" s="115"/>
      <c r="O43" s="115"/>
      <c r="P43" s="115"/>
      <c r="Q43" s="115"/>
      <c r="R43" s="115"/>
    </row>
    <row r="44" spans="1:18" x14ac:dyDescent="0.2">
      <c r="N44" s="115"/>
      <c r="O44" s="115"/>
      <c r="P44" s="115"/>
      <c r="Q44" s="115"/>
      <c r="R44" s="115"/>
    </row>
    <row r="45" spans="1:18" x14ac:dyDescent="0.2">
      <c r="N45" s="115"/>
      <c r="O45" s="115"/>
      <c r="P45" s="115"/>
      <c r="Q45" s="115"/>
      <c r="R45" s="115"/>
    </row>
    <row r="46" spans="1:18" x14ac:dyDescent="0.2">
      <c r="N46" s="115"/>
      <c r="O46" s="115"/>
      <c r="P46" s="115"/>
      <c r="Q46" s="115"/>
      <c r="R46" s="115"/>
    </row>
  </sheetData>
  <mergeCells count="3">
    <mergeCell ref="A1:M35"/>
    <mergeCell ref="N1:R10"/>
    <mergeCell ref="N11:R46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69A2A-A9BA-624A-BD4A-ED0107205F35}">
  <dimension ref="A1:I357"/>
  <sheetViews>
    <sheetView tabSelected="1" zoomScale="31" zoomScaleNormal="68" workbookViewId="0">
      <selection activeCell="F106" sqref="F106"/>
    </sheetView>
  </sheetViews>
  <sheetFormatPr baseColWidth="10" defaultColWidth="61" defaultRowHeight="25" customHeight="1" x14ac:dyDescent="0.2"/>
  <sheetData>
    <row r="1" spans="1:9" ht="25" customHeight="1" x14ac:dyDescent="0.2">
      <c r="A1" s="116" t="s">
        <v>7</v>
      </c>
      <c r="B1" s="116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9" ht="25" customHeight="1" x14ac:dyDescent="0.3">
      <c r="A2" s="116"/>
      <c r="B2" s="116"/>
      <c r="C2" s="1" t="s">
        <v>9</v>
      </c>
      <c r="D2" s="3">
        <v>30174</v>
      </c>
      <c r="E2" s="3">
        <v>35307</v>
      </c>
      <c r="F2" s="3">
        <v>39383</v>
      </c>
      <c r="G2" s="3">
        <v>0</v>
      </c>
      <c r="H2" s="3">
        <v>0</v>
      </c>
      <c r="I2" s="4"/>
    </row>
    <row r="3" spans="1:9" ht="25" customHeight="1" x14ac:dyDescent="0.4">
      <c r="A3" s="8" t="s">
        <v>36</v>
      </c>
      <c r="B3" s="8" t="s">
        <v>37</v>
      </c>
      <c r="C3" s="1" t="s">
        <v>10</v>
      </c>
      <c r="D3" s="3">
        <v>5878</v>
      </c>
      <c r="E3" s="3">
        <v>5779</v>
      </c>
      <c r="F3" s="3">
        <v>5081</v>
      </c>
      <c r="G3" s="3">
        <v>0</v>
      </c>
      <c r="H3" s="3">
        <v>0</v>
      </c>
      <c r="I3" s="4"/>
    </row>
    <row r="4" spans="1:9" ht="25" customHeight="1" x14ac:dyDescent="0.3">
      <c r="C4" s="1" t="s">
        <v>11</v>
      </c>
      <c r="D4" s="3">
        <v>0</v>
      </c>
      <c r="E4" s="3">
        <v>0</v>
      </c>
      <c r="F4" s="3">
        <v>0</v>
      </c>
      <c r="G4" s="3">
        <v>24506</v>
      </c>
      <c r="H4" s="3">
        <v>33989</v>
      </c>
      <c r="I4" s="4"/>
    </row>
    <row r="5" spans="1:9" ht="25" customHeight="1" x14ac:dyDescent="0.3">
      <c r="C5" s="1" t="s">
        <v>12</v>
      </c>
      <c r="D5" s="3">
        <v>0</v>
      </c>
      <c r="E5" s="3">
        <v>0</v>
      </c>
      <c r="F5" s="3">
        <v>0</v>
      </c>
      <c r="G5" s="3">
        <v>24724</v>
      </c>
      <c r="H5" s="3">
        <v>24541</v>
      </c>
      <c r="I5" s="4"/>
    </row>
    <row r="6" spans="1:9" ht="25" customHeight="1" x14ac:dyDescent="0.3">
      <c r="C6" s="1" t="s">
        <v>13</v>
      </c>
      <c r="D6" s="3">
        <v>3183</v>
      </c>
      <c r="E6" s="3">
        <v>3274</v>
      </c>
      <c r="F6" s="3">
        <v>3066</v>
      </c>
      <c r="G6" s="3">
        <v>2936</v>
      </c>
      <c r="H6" s="3">
        <v>3084</v>
      </c>
      <c r="I6" s="4"/>
    </row>
    <row r="7" spans="1:9" ht="25" customHeight="1" x14ac:dyDescent="0.3">
      <c r="C7" s="1" t="s">
        <v>14</v>
      </c>
      <c r="D7" s="3">
        <v>3205</v>
      </c>
      <c r="E7" s="3">
        <v>5594</v>
      </c>
      <c r="F7" s="3">
        <v>5431</v>
      </c>
      <c r="G7" s="3">
        <v>5233</v>
      </c>
      <c r="H7" s="3">
        <v>5743</v>
      </c>
      <c r="I7" s="4"/>
    </row>
    <row r="8" spans="1:9" ht="25" customHeight="1" x14ac:dyDescent="0.3">
      <c r="C8" s="5" t="s">
        <v>15</v>
      </c>
      <c r="D8" s="6">
        <f>SUM(D2:D7)</f>
        <v>42440</v>
      </c>
      <c r="E8" s="6">
        <f t="shared" ref="E8:H8" si="0">SUM(E2:E7)</f>
        <v>49954</v>
      </c>
      <c r="F8" s="6">
        <f t="shared" si="0"/>
        <v>52961</v>
      </c>
      <c r="G8" s="6">
        <f t="shared" si="0"/>
        <v>57399</v>
      </c>
      <c r="H8" s="6">
        <f t="shared" si="0"/>
        <v>67357</v>
      </c>
      <c r="I8" s="4"/>
    </row>
    <row r="9" spans="1:9" ht="25" customHeight="1" x14ac:dyDescent="0.3">
      <c r="C9" s="1" t="s">
        <v>16</v>
      </c>
      <c r="D9" s="3">
        <v>-5213</v>
      </c>
      <c r="E9" s="3">
        <v>-7763</v>
      </c>
      <c r="F9" s="3">
        <v>-9427</v>
      </c>
      <c r="G9" s="3">
        <v>-11569</v>
      </c>
      <c r="H9" s="3">
        <v>-17597</v>
      </c>
      <c r="I9" s="4"/>
    </row>
    <row r="10" spans="1:9" ht="25" customHeight="1" x14ac:dyDescent="0.3">
      <c r="C10" s="1" t="s">
        <v>17</v>
      </c>
      <c r="D10" s="3">
        <v>-972</v>
      </c>
      <c r="E10" s="3">
        <v>-1040</v>
      </c>
      <c r="F10" s="3">
        <v>-891</v>
      </c>
      <c r="G10" s="3">
        <v>-782</v>
      </c>
      <c r="H10" s="3">
        <v>-868</v>
      </c>
      <c r="I10" s="4"/>
    </row>
    <row r="11" spans="1:9" ht="25" customHeight="1" x14ac:dyDescent="0.3">
      <c r="C11" s="1" t="s">
        <v>18</v>
      </c>
      <c r="D11" s="3">
        <v>-2692</v>
      </c>
      <c r="E11" s="3">
        <v>-4761</v>
      </c>
      <c r="F11" s="3">
        <v>-4825</v>
      </c>
      <c r="G11" s="3">
        <v>-4576</v>
      </c>
      <c r="H11" s="3">
        <v>-4556</v>
      </c>
      <c r="I11" s="4"/>
    </row>
    <row r="12" spans="1:9" ht="25" customHeight="1" x14ac:dyDescent="0.3">
      <c r="C12" s="1" t="s">
        <v>19</v>
      </c>
      <c r="D12" s="3">
        <v>-8047</v>
      </c>
      <c r="E12" s="3">
        <v>-8833</v>
      </c>
      <c r="F12" s="3">
        <v>-8274</v>
      </c>
      <c r="G12" s="3">
        <v>-8651</v>
      </c>
      <c r="H12" s="3">
        <v>-8331</v>
      </c>
      <c r="I12" s="4"/>
    </row>
    <row r="13" spans="1:9" ht="25" customHeight="1" x14ac:dyDescent="0.3">
      <c r="C13" s="1" t="s">
        <v>20</v>
      </c>
      <c r="D13" s="3">
        <v>-7219</v>
      </c>
      <c r="E13" s="3">
        <v>-8623</v>
      </c>
      <c r="F13" s="3">
        <v>-8915</v>
      </c>
      <c r="G13" s="3">
        <v>-9860</v>
      </c>
      <c r="H13" s="3">
        <v>-10272</v>
      </c>
      <c r="I13" s="4"/>
    </row>
    <row r="14" spans="1:9" ht="25" customHeight="1" x14ac:dyDescent="0.3">
      <c r="C14" s="1" t="s">
        <v>21</v>
      </c>
      <c r="D14" s="3">
        <v>-1317</v>
      </c>
      <c r="E14" s="3">
        <v>-1579</v>
      </c>
      <c r="F14" s="3">
        <v>-1548</v>
      </c>
      <c r="G14" s="3">
        <v>-1602</v>
      </c>
      <c r="H14" s="3">
        <v>-1618</v>
      </c>
      <c r="I14" s="4"/>
    </row>
    <row r="15" spans="1:9" ht="25" customHeight="1" x14ac:dyDescent="0.3">
      <c r="C15" s="1" t="s">
        <v>22</v>
      </c>
      <c r="D15" s="3">
        <v>-1150</v>
      </c>
      <c r="E15" s="3">
        <v>-3582</v>
      </c>
      <c r="F15" s="3">
        <v>-3010</v>
      </c>
      <c r="G15" s="3">
        <v>-2307</v>
      </c>
      <c r="H15" s="3">
        <v>-1671</v>
      </c>
      <c r="I15" s="4"/>
    </row>
    <row r="16" spans="1:9" ht="25" customHeight="1" x14ac:dyDescent="0.3">
      <c r="C16" s="1" t="s">
        <v>23</v>
      </c>
      <c r="D16" s="3">
        <v>-4904</v>
      </c>
      <c r="E16" s="3">
        <v>-680</v>
      </c>
      <c r="F16" s="3">
        <v>-718</v>
      </c>
      <c r="G16" s="3">
        <v>-374</v>
      </c>
      <c r="H16" s="3">
        <v>-1838</v>
      </c>
      <c r="I16" s="4"/>
    </row>
    <row r="17" spans="1:9" ht="25" customHeight="1" x14ac:dyDescent="0.3">
      <c r="C17" s="5" t="s">
        <v>24</v>
      </c>
      <c r="D17" s="6">
        <f>SUM(D9:D16)</f>
        <v>-31514</v>
      </c>
      <c r="E17" s="6">
        <f t="shared" ref="E17:F17" si="1">SUM(E9:E16)</f>
        <v>-36861</v>
      </c>
      <c r="F17" s="6">
        <f t="shared" si="1"/>
        <v>-37608</v>
      </c>
      <c r="G17" s="6">
        <f>SUM(G9:G16)</f>
        <v>-39721</v>
      </c>
      <c r="H17" s="6">
        <f>SUM(H9:H16)</f>
        <v>-46751</v>
      </c>
      <c r="I17" s="4"/>
    </row>
    <row r="18" spans="1:9" ht="25" customHeight="1" x14ac:dyDescent="0.3">
      <c r="C18" s="5" t="s">
        <v>25</v>
      </c>
      <c r="D18" s="6">
        <f>SUM(D17,D8)</f>
        <v>10926</v>
      </c>
      <c r="E18" s="6">
        <f t="shared" ref="E18" si="2">SUM(E17,E8)</f>
        <v>13093</v>
      </c>
      <c r="F18" s="6">
        <f>SUM(F17,F8)</f>
        <v>15353</v>
      </c>
      <c r="G18" s="6">
        <f>SUM(G17,G8)</f>
        <v>17678</v>
      </c>
      <c r="H18" s="6">
        <f>SUM(H17,H8)</f>
        <v>20606</v>
      </c>
      <c r="I18" s="4"/>
    </row>
    <row r="19" spans="1:9" ht="25" customHeight="1" x14ac:dyDescent="0.3">
      <c r="C19" s="1" t="s">
        <v>26</v>
      </c>
      <c r="D19" s="3">
        <v>-2755</v>
      </c>
      <c r="E19" s="3">
        <v>-3505</v>
      </c>
      <c r="F19" s="3">
        <v>-3514</v>
      </c>
      <c r="G19" s="3">
        <v>-3578</v>
      </c>
      <c r="H19" s="3">
        <v>-4599</v>
      </c>
      <c r="I19" s="4"/>
    </row>
    <row r="20" spans="1:9" ht="25" customHeight="1" x14ac:dyDescent="0.3">
      <c r="C20" s="1" t="s">
        <v>27</v>
      </c>
      <c r="D20" s="3">
        <v>-522</v>
      </c>
      <c r="E20" s="3">
        <v>-462</v>
      </c>
      <c r="F20" s="3">
        <v>-98</v>
      </c>
      <c r="G20" s="3">
        <v>60</v>
      </c>
      <c r="H20" s="3">
        <v>3547</v>
      </c>
      <c r="I20" s="4"/>
    </row>
    <row r="21" spans="1:9" ht="25" customHeight="1" x14ac:dyDescent="0.3">
      <c r="C21" s="1" t="s">
        <v>28</v>
      </c>
      <c r="D21" s="3">
        <f>SUM(D18:D20)</f>
        <v>7649</v>
      </c>
      <c r="E21" s="3">
        <f t="shared" ref="E21:F21" si="3">SUM(E18:E20)</f>
        <v>9126</v>
      </c>
      <c r="F21" s="3">
        <f t="shared" si="3"/>
        <v>11741</v>
      </c>
      <c r="G21" s="3">
        <f>SUM(G18:G20)</f>
        <v>14160</v>
      </c>
      <c r="H21" s="3">
        <f>SUM(H18:H20)</f>
        <v>19554</v>
      </c>
      <c r="I21" s="4"/>
    </row>
    <row r="22" spans="1:9" ht="25" customHeight="1" x14ac:dyDescent="0.3">
      <c r="C22" s="1" t="s">
        <v>29</v>
      </c>
      <c r="D22" s="3">
        <v>-932</v>
      </c>
      <c r="E22" s="3">
        <v>-623</v>
      </c>
      <c r="F22" s="3">
        <v>-1274</v>
      </c>
      <c r="G22" s="3">
        <v>-1717</v>
      </c>
      <c r="H22" s="3">
        <v>-2467</v>
      </c>
      <c r="I22" s="4"/>
    </row>
    <row r="23" spans="1:9" ht="25" customHeight="1" x14ac:dyDescent="0.3">
      <c r="C23" s="5" t="s">
        <v>30</v>
      </c>
      <c r="D23" s="6">
        <f>SUM(D21:D22)</f>
        <v>6717</v>
      </c>
      <c r="E23" s="6">
        <f t="shared" ref="E23:G23" si="4">SUM(E21:E22)</f>
        <v>8503</v>
      </c>
      <c r="F23" s="6">
        <f t="shared" si="4"/>
        <v>10467</v>
      </c>
      <c r="G23" s="6">
        <f t="shared" si="4"/>
        <v>12443</v>
      </c>
      <c r="H23" s="6">
        <f>SUM(H21:H22)</f>
        <v>17087</v>
      </c>
      <c r="I23" s="4"/>
    </row>
    <row r="24" spans="1:9" ht="25" customHeight="1" x14ac:dyDescent="0.3">
      <c r="C24" s="1" t="s">
        <v>31</v>
      </c>
      <c r="D24" s="3">
        <v>0</v>
      </c>
      <c r="E24" s="3">
        <v>0</v>
      </c>
      <c r="F24" s="3"/>
      <c r="G24" s="3">
        <v>0</v>
      </c>
      <c r="H24" s="3">
        <v>-103</v>
      </c>
      <c r="I24" s="4"/>
    </row>
    <row r="25" spans="1:9" ht="25" customHeight="1" x14ac:dyDescent="0.3">
      <c r="C25" s="1" t="s">
        <v>32</v>
      </c>
      <c r="D25" s="3">
        <f>D23-D24</f>
        <v>6717</v>
      </c>
      <c r="E25" s="3">
        <f t="shared" ref="E25:G25" si="5">E23-E24</f>
        <v>8503</v>
      </c>
      <c r="F25" s="3">
        <f t="shared" si="5"/>
        <v>10467</v>
      </c>
      <c r="G25" s="3">
        <f t="shared" si="5"/>
        <v>12443</v>
      </c>
      <c r="H25" s="3">
        <f>SUM(H23:H24)</f>
        <v>16984</v>
      </c>
      <c r="I25" s="4"/>
    </row>
    <row r="26" spans="1:9" ht="25" customHeight="1" x14ac:dyDescent="0.3">
      <c r="C26" s="1" t="s">
        <v>33</v>
      </c>
      <c r="D26" s="7">
        <f>D25/D28</f>
        <v>2.4877777777777776</v>
      </c>
      <c r="E26" s="7">
        <f t="shared" ref="E26:H26" si="6">E25/E28</f>
        <v>3.1539317507418398</v>
      </c>
      <c r="F26" s="7">
        <f t="shared" si="6"/>
        <v>3.8145043731778427</v>
      </c>
      <c r="G26" s="7">
        <f t="shared" si="6"/>
        <v>4.4614557188956612</v>
      </c>
      <c r="H26" s="7">
        <f t="shared" si="6"/>
        <v>5.9384615384615387</v>
      </c>
      <c r="I26" s="4"/>
    </row>
    <row r="27" spans="1:9" ht="25" customHeight="1" x14ac:dyDescent="0.3">
      <c r="C27" s="1" t="s">
        <v>34</v>
      </c>
      <c r="D27" s="7">
        <f>D25/D29</f>
        <v>2.4109834888729362</v>
      </c>
      <c r="E27" s="7">
        <f t="shared" ref="E27:H27" si="7">E25/E29</f>
        <v>3.0741142443962399</v>
      </c>
      <c r="F27" s="7">
        <f t="shared" si="7"/>
        <v>3.7077577045696066</v>
      </c>
      <c r="G27" s="7">
        <f>G25/G29</f>
        <v>4.3415910676901603</v>
      </c>
      <c r="H27" s="7">
        <f t="shared" si="7"/>
        <v>5.828414550446122</v>
      </c>
      <c r="I27" s="4"/>
    </row>
    <row r="28" spans="1:9" ht="25" customHeight="1" x14ac:dyDescent="0.3">
      <c r="C28" s="1" t="s">
        <v>35</v>
      </c>
      <c r="D28" s="3">
        <v>2700</v>
      </c>
      <c r="E28" s="3">
        <v>2696</v>
      </c>
      <c r="F28" s="3">
        <v>2744</v>
      </c>
      <c r="G28" s="3">
        <v>2789</v>
      </c>
      <c r="H28" s="3">
        <v>2860</v>
      </c>
      <c r="I28" s="4"/>
    </row>
    <row r="29" spans="1:9" ht="25" customHeight="1" x14ac:dyDescent="0.3">
      <c r="C29" s="1" t="s">
        <v>38</v>
      </c>
      <c r="D29" s="3">
        <v>2786</v>
      </c>
      <c r="E29" s="3">
        <v>2766</v>
      </c>
      <c r="F29" s="3">
        <v>2823</v>
      </c>
      <c r="G29" s="3">
        <v>2866</v>
      </c>
      <c r="H29" s="3">
        <v>2914</v>
      </c>
      <c r="I29" s="4"/>
    </row>
    <row r="30" spans="1:9" ht="25" customHeight="1" x14ac:dyDescent="0.3">
      <c r="C30" s="1"/>
      <c r="D30" s="9"/>
      <c r="E30" s="9"/>
      <c r="F30" s="9"/>
      <c r="G30" s="4"/>
      <c r="H30" s="4"/>
      <c r="I30" s="4"/>
    </row>
    <row r="31" spans="1:9" ht="25" customHeight="1" x14ac:dyDescent="0.3">
      <c r="A31" s="116" t="s">
        <v>39</v>
      </c>
      <c r="B31" s="116"/>
      <c r="C31" s="1"/>
      <c r="D31" s="1"/>
      <c r="E31" s="1"/>
      <c r="F31" s="1"/>
    </row>
    <row r="32" spans="1:9" ht="25" customHeight="1" x14ac:dyDescent="0.3">
      <c r="A32" s="116"/>
      <c r="B32" s="116"/>
      <c r="C32" s="1"/>
      <c r="D32" s="1"/>
      <c r="E32" s="11" t="s">
        <v>6</v>
      </c>
      <c r="F32" s="1"/>
    </row>
    <row r="33" spans="3:8" ht="25" customHeight="1" x14ac:dyDescent="0.2">
      <c r="C33" s="12" t="s">
        <v>40</v>
      </c>
      <c r="D33" s="15"/>
      <c r="E33" s="15"/>
      <c r="F33" s="15"/>
      <c r="G33" s="16"/>
      <c r="H33" s="4"/>
    </row>
    <row r="34" spans="3:8" ht="25" customHeight="1" x14ac:dyDescent="0.2">
      <c r="C34" s="13"/>
      <c r="D34" s="15"/>
      <c r="E34" s="15"/>
      <c r="F34" s="15"/>
      <c r="G34" s="16"/>
      <c r="H34" s="4"/>
    </row>
    <row r="35" spans="3:8" ht="25" customHeight="1" x14ac:dyDescent="0.2">
      <c r="C35" s="13" t="s">
        <v>41</v>
      </c>
      <c r="D35" s="15"/>
      <c r="E35" s="15">
        <v>31289</v>
      </c>
      <c r="F35" s="15"/>
      <c r="G35" s="16"/>
      <c r="H35" s="4"/>
    </row>
    <row r="36" spans="3:8" ht="25" customHeight="1" x14ac:dyDescent="0.2">
      <c r="C36" s="13" t="s">
        <v>42</v>
      </c>
      <c r="D36" s="15"/>
      <c r="E36" s="15">
        <v>605</v>
      </c>
      <c r="F36" s="15"/>
      <c r="G36" s="16"/>
      <c r="H36" s="4"/>
    </row>
    <row r="37" spans="3:8" ht="25" customHeight="1" x14ac:dyDescent="0.2">
      <c r="C37" s="10" t="s">
        <v>43</v>
      </c>
      <c r="D37" s="15"/>
      <c r="E37" s="15">
        <v>10385</v>
      </c>
      <c r="F37" s="15"/>
      <c r="G37" s="16"/>
      <c r="H37" s="4"/>
    </row>
    <row r="38" spans="3:8" ht="25" customHeight="1" x14ac:dyDescent="0.2">
      <c r="C38" s="13" t="s">
        <v>44</v>
      </c>
      <c r="D38" s="15"/>
      <c r="E38" s="15">
        <v>4288</v>
      </c>
      <c r="F38" s="15"/>
      <c r="G38" s="16"/>
      <c r="H38" s="4"/>
    </row>
    <row r="39" spans="3:8" ht="25" customHeight="1" x14ac:dyDescent="0.2">
      <c r="C39" s="17" t="s">
        <v>45</v>
      </c>
      <c r="D39" s="18"/>
      <c r="E39" s="18">
        <f>SUM(E35:E38)</f>
        <v>46567</v>
      </c>
      <c r="F39" s="15"/>
      <c r="G39" s="16"/>
      <c r="H39" s="4"/>
    </row>
    <row r="40" spans="3:8" ht="25" customHeight="1" x14ac:dyDescent="0.2">
      <c r="C40" s="13" t="s">
        <v>46</v>
      </c>
      <c r="D40" s="15"/>
      <c r="E40" s="15">
        <v>99957</v>
      </c>
      <c r="F40" s="15"/>
      <c r="G40" s="16"/>
      <c r="H40" s="4"/>
    </row>
    <row r="41" spans="3:8" ht="25" customHeight="1" x14ac:dyDescent="0.2">
      <c r="C41" s="13" t="s">
        <v>48</v>
      </c>
      <c r="D41" s="15"/>
      <c r="E41" s="15">
        <v>29690</v>
      </c>
      <c r="F41" s="15"/>
      <c r="G41" s="16"/>
      <c r="H41" s="4"/>
    </row>
    <row r="42" spans="3:8" ht="25" customHeight="1" x14ac:dyDescent="0.2">
      <c r="C42" s="13" t="s">
        <v>47</v>
      </c>
      <c r="D42" s="15"/>
      <c r="E42" s="15">
        <v>62261</v>
      </c>
      <c r="F42" s="15"/>
      <c r="G42" s="16"/>
      <c r="H42" s="4"/>
    </row>
    <row r="43" spans="3:8" ht="25" customHeight="1" x14ac:dyDescent="0.2">
      <c r="C43" s="13" t="s">
        <v>49</v>
      </c>
      <c r="D43" s="15"/>
      <c r="E43" s="15">
        <v>11541</v>
      </c>
      <c r="F43" s="15"/>
      <c r="G43" s="16"/>
      <c r="H43" s="4"/>
    </row>
    <row r="44" spans="3:8" ht="25" customHeight="1" x14ac:dyDescent="0.2">
      <c r="C44" s="13" t="s">
        <v>50</v>
      </c>
      <c r="D44" s="15"/>
      <c r="E44" s="15">
        <v>11743</v>
      </c>
      <c r="F44" s="15"/>
      <c r="G44" s="16"/>
      <c r="H44" s="4"/>
    </row>
    <row r="45" spans="3:8" ht="25" customHeight="1" x14ac:dyDescent="0.2">
      <c r="C45" s="17" t="s">
        <v>51</v>
      </c>
      <c r="D45" s="18"/>
      <c r="E45" s="18">
        <f>SUM(E40:E44)</f>
        <v>215192</v>
      </c>
      <c r="F45" s="15"/>
      <c r="G45" s="16"/>
      <c r="H45" s="4"/>
    </row>
    <row r="46" spans="3:8" ht="25" customHeight="1" x14ac:dyDescent="0.2">
      <c r="C46" s="17" t="s">
        <v>52</v>
      </c>
      <c r="D46" s="18"/>
      <c r="E46" s="18">
        <f>SUM(E45,E39)</f>
        <v>261759</v>
      </c>
      <c r="F46" s="15"/>
      <c r="G46" s="16"/>
      <c r="H46" s="4"/>
    </row>
    <row r="47" spans="3:8" ht="25" customHeight="1" x14ac:dyDescent="0.2">
      <c r="C47" s="13"/>
      <c r="D47" s="15"/>
      <c r="E47" s="15"/>
      <c r="F47" s="15"/>
      <c r="G47" s="16"/>
      <c r="H47" s="4"/>
    </row>
    <row r="48" spans="3:8" ht="25" customHeight="1" x14ac:dyDescent="0.2">
      <c r="C48" s="12" t="s">
        <v>53</v>
      </c>
      <c r="D48" s="15"/>
      <c r="E48" s="15"/>
      <c r="F48" s="15"/>
      <c r="G48" s="16"/>
      <c r="H48" s="4"/>
    </row>
    <row r="49" spans="3:8" ht="25" customHeight="1" x14ac:dyDescent="0.2">
      <c r="C49" s="13" t="s">
        <v>54</v>
      </c>
      <c r="D49" s="15"/>
      <c r="E49" s="15">
        <v>7199</v>
      </c>
      <c r="F49" s="15"/>
      <c r="G49" s="16"/>
      <c r="H49" s="4"/>
    </row>
    <row r="50" spans="3:8" ht="25" customHeight="1" x14ac:dyDescent="0.2">
      <c r="C50" s="13" t="s">
        <v>55</v>
      </c>
      <c r="D50" s="15"/>
      <c r="E50" s="15">
        <v>10977</v>
      </c>
      <c r="F50" s="15"/>
      <c r="G50" s="16"/>
      <c r="H50" s="4"/>
    </row>
    <row r="51" spans="3:8" ht="25" customHeight="1" x14ac:dyDescent="0.2">
      <c r="C51" s="13" t="s">
        <v>56</v>
      </c>
      <c r="D51" s="15"/>
      <c r="E51" s="15">
        <v>2225</v>
      </c>
      <c r="F51" s="15"/>
      <c r="G51" s="16"/>
      <c r="H51" s="4"/>
    </row>
    <row r="52" spans="3:8" ht="25" customHeight="1" x14ac:dyDescent="0.2">
      <c r="C52" s="13" t="s">
        <v>57</v>
      </c>
      <c r="D52" s="15"/>
      <c r="E52" s="15">
        <v>9916</v>
      </c>
      <c r="F52" s="15"/>
      <c r="G52" s="16"/>
      <c r="H52" s="4"/>
    </row>
    <row r="53" spans="3:8" ht="25" customHeight="1" x14ac:dyDescent="0.2">
      <c r="C53" s="13" t="s">
        <v>58</v>
      </c>
      <c r="D53" s="15"/>
      <c r="E53" s="15">
        <v>11447</v>
      </c>
      <c r="F53" s="15"/>
      <c r="G53" s="16"/>
      <c r="H53" s="4"/>
    </row>
    <row r="54" spans="3:8" ht="25" customHeight="1" x14ac:dyDescent="0.2">
      <c r="C54" s="17" t="s">
        <v>59</v>
      </c>
      <c r="D54" s="18"/>
      <c r="E54" s="18">
        <f>SUM(E49:E53)</f>
        <v>41764</v>
      </c>
      <c r="F54" s="15"/>
      <c r="G54" s="16"/>
      <c r="H54" s="4"/>
    </row>
    <row r="55" spans="3:8" ht="25" customHeight="1" x14ac:dyDescent="0.2">
      <c r="C55" s="13" t="s">
        <v>60</v>
      </c>
      <c r="D55" s="15"/>
      <c r="E55" s="15">
        <v>122342</v>
      </c>
      <c r="F55" s="15"/>
      <c r="G55" s="16"/>
      <c r="H55" s="4"/>
    </row>
    <row r="56" spans="3:8" ht="25" customHeight="1" x14ac:dyDescent="0.2">
      <c r="C56" s="13" t="s">
        <v>61</v>
      </c>
      <c r="D56" s="15"/>
      <c r="E56" s="15">
        <v>11771</v>
      </c>
      <c r="F56" s="15"/>
      <c r="G56" s="16"/>
      <c r="H56" s="4"/>
    </row>
    <row r="57" spans="3:8" ht="25" customHeight="1" x14ac:dyDescent="0.2">
      <c r="C57" s="13" t="s">
        <v>62</v>
      </c>
      <c r="D57" s="15"/>
      <c r="E57" s="15">
        <v>26648</v>
      </c>
      <c r="F57" s="15"/>
      <c r="G57" s="16"/>
      <c r="H57" s="4"/>
    </row>
    <row r="58" spans="3:8" ht="25" customHeight="1" x14ac:dyDescent="0.2">
      <c r="C58" s="13" t="s">
        <v>63</v>
      </c>
      <c r="D58" s="15"/>
      <c r="E58" s="15">
        <v>16178</v>
      </c>
      <c r="F58" s="15"/>
      <c r="G58" s="16"/>
      <c r="H58" s="4"/>
    </row>
    <row r="59" spans="3:8" ht="25" customHeight="1" x14ac:dyDescent="0.2">
      <c r="C59" s="17" t="s">
        <v>65</v>
      </c>
      <c r="D59" s="18"/>
      <c r="E59" s="18">
        <f>SUM(E55:E58)</f>
        <v>176939</v>
      </c>
      <c r="F59" s="15"/>
      <c r="G59" s="16"/>
      <c r="H59" s="4"/>
    </row>
    <row r="60" spans="3:8" ht="25" customHeight="1" x14ac:dyDescent="0.2">
      <c r="C60" s="17" t="s">
        <v>64</v>
      </c>
      <c r="D60" s="18"/>
      <c r="E60" s="18">
        <f>SUM(E54,E59)</f>
        <v>218703</v>
      </c>
      <c r="F60" s="15"/>
      <c r="G60" s="16"/>
      <c r="H60" s="4"/>
    </row>
    <row r="61" spans="3:8" ht="25" customHeight="1" x14ac:dyDescent="0.2">
      <c r="C61" s="13"/>
      <c r="D61" s="15"/>
      <c r="F61" s="15"/>
      <c r="G61" s="16"/>
      <c r="H61" s="4"/>
    </row>
    <row r="62" spans="3:8" ht="25" customHeight="1" x14ac:dyDescent="0.2">
      <c r="C62" s="17" t="s">
        <v>66</v>
      </c>
      <c r="D62" s="18"/>
      <c r="E62" s="18">
        <v>43056</v>
      </c>
      <c r="F62" s="15"/>
      <c r="G62" s="16"/>
      <c r="H62" s="4"/>
    </row>
    <row r="63" spans="3:8" ht="25" customHeight="1" x14ac:dyDescent="0.2">
      <c r="C63" s="17"/>
      <c r="D63" s="18"/>
      <c r="E63" s="18"/>
      <c r="F63" s="15"/>
      <c r="G63" s="16"/>
      <c r="H63" s="4"/>
    </row>
    <row r="64" spans="3:8" ht="25" customHeight="1" x14ac:dyDescent="0.3">
      <c r="C64" s="14"/>
      <c r="D64" s="9"/>
      <c r="E64" s="9"/>
      <c r="F64" s="9"/>
      <c r="G64" s="4"/>
      <c r="H64" s="4"/>
    </row>
    <row r="65" spans="1:9" ht="25" customHeight="1" x14ac:dyDescent="0.3">
      <c r="C65" s="14"/>
      <c r="D65" s="9"/>
      <c r="E65" s="9"/>
      <c r="F65" s="9"/>
      <c r="G65" s="4"/>
      <c r="H65" s="4"/>
    </row>
    <row r="66" spans="1:9" ht="25" customHeight="1" x14ac:dyDescent="0.3">
      <c r="C66" s="14"/>
      <c r="D66" s="9"/>
      <c r="E66" s="9"/>
      <c r="F66" s="9"/>
      <c r="G66" s="4"/>
      <c r="H66" s="4"/>
    </row>
    <row r="67" spans="1:9" ht="25" customHeight="1" x14ac:dyDescent="0.3">
      <c r="C67" s="14"/>
      <c r="D67" s="9"/>
      <c r="E67" s="9"/>
      <c r="F67" s="9"/>
      <c r="G67" s="4"/>
      <c r="H67" s="4"/>
    </row>
    <row r="68" spans="1:9" ht="25" customHeight="1" x14ac:dyDescent="0.3">
      <c r="C68" s="14"/>
      <c r="D68" s="9"/>
      <c r="E68" s="22" t="s">
        <v>69</v>
      </c>
      <c r="F68" s="9"/>
      <c r="G68" s="4"/>
      <c r="H68" s="4"/>
    </row>
    <row r="69" spans="1:9" ht="25" customHeight="1" x14ac:dyDescent="0.4">
      <c r="C69" s="20" t="s">
        <v>67</v>
      </c>
      <c r="D69" s="21">
        <f>E46-E60-E62</f>
        <v>0</v>
      </c>
      <c r="E69" s="22" t="s">
        <v>68</v>
      </c>
      <c r="F69" s="9"/>
      <c r="G69" s="4"/>
    </row>
    <row r="70" spans="1:9" ht="25" customHeight="1" x14ac:dyDescent="0.3">
      <c r="C70" s="14"/>
      <c r="D70" s="9"/>
      <c r="E70" s="9"/>
      <c r="F70" s="9"/>
      <c r="G70" s="4"/>
    </row>
    <row r="71" spans="1:9" ht="25" customHeight="1" x14ac:dyDescent="0.3">
      <c r="C71" s="14"/>
      <c r="D71" s="9"/>
      <c r="E71" s="9"/>
      <c r="F71" s="9"/>
      <c r="G71" s="4"/>
    </row>
    <row r="72" spans="1:9" ht="25" customHeight="1" x14ac:dyDescent="0.3">
      <c r="C72" s="14"/>
      <c r="D72" s="9"/>
      <c r="E72" s="9"/>
      <c r="F72" s="9"/>
      <c r="G72" s="4"/>
    </row>
    <row r="73" spans="1:9" ht="25" customHeight="1" x14ac:dyDescent="0.3">
      <c r="C73" s="14"/>
      <c r="D73" s="9"/>
      <c r="E73" s="9"/>
      <c r="F73" s="9"/>
      <c r="G73" s="4"/>
    </row>
    <row r="74" spans="1:9" ht="25" customHeight="1" x14ac:dyDescent="0.3">
      <c r="A74" s="116" t="s">
        <v>70</v>
      </c>
      <c r="B74" s="116"/>
      <c r="C74" s="14" t="s">
        <v>129</v>
      </c>
      <c r="D74" s="9"/>
      <c r="E74" s="9"/>
      <c r="F74" s="9"/>
      <c r="G74" s="4"/>
    </row>
    <row r="75" spans="1:9" ht="25" customHeight="1" x14ac:dyDescent="0.2">
      <c r="A75" s="116"/>
      <c r="B75" s="116"/>
      <c r="C75" s="36">
        <f>SUM(C84:C89)</f>
        <v>-1987</v>
      </c>
      <c r="D75" s="36">
        <f t="shared" ref="D75:G75" si="8">SUM(D84:D89)</f>
        <v>513</v>
      </c>
      <c r="E75" s="36">
        <f t="shared" si="8"/>
        <v>-488</v>
      </c>
      <c r="F75" s="36">
        <f t="shared" si="8"/>
        <v>-1500</v>
      </c>
      <c r="G75" s="36">
        <f t="shared" si="8"/>
        <v>4135</v>
      </c>
    </row>
    <row r="76" spans="1:9" ht="25" customHeight="1" x14ac:dyDescent="0.2">
      <c r="C76" s="13" t="s">
        <v>2</v>
      </c>
      <c r="D76" s="15" t="s">
        <v>3</v>
      </c>
      <c r="E76" s="15" t="s">
        <v>4</v>
      </c>
      <c r="F76" s="15" t="s">
        <v>5</v>
      </c>
      <c r="G76" s="15" t="s">
        <v>6</v>
      </c>
      <c r="H76" s="10"/>
      <c r="I76" s="10"/>
    </row>
    <row r="77" spans="1:9" ht="25" customHeight="1" x14ac:dyDescent="0.2">
      <c r="B77" s="23" t="s">
        <v>71</v>
      </c>
      <c r="C77" s="15"/>
      <c r="D77" s="15"/>
      <c r="E77" s="15"/>
      <c r="F77" s="15"/>
      <c r="G77" s="15"/>
      <c r="H77" s="10"/>
      <c r="I77" s="10"/>
    </row>
    <row r="78" spans="1:9" ht="25" customHeight="1" x14ac:dyDescent="0.2">
      <c r="B78" s="10" t="s">
        <v>30</v>
      </c>
      <c r="C78" s="15">
        <f>D23</f>
        <v>6717</v>
      </c>
      <c r="D78" s="15">
        <f t="shared" ref="D78:G78" si="9">E23</f>
        <v>8503</v>
      </c>
      <c r="E78" s="15">
        <f t="shared" si="9"/>
        <v>10467</v>
      </c>
      <c r="F78" s="15">
        <f t="shared" si="9"/>
        <v>12443</v>
      </c>
      <c r="G78" s="15">
        <f t="shared" si="9"/>
        <v>17087</v>
      </c>
      <c r="H78" s="10"/>
      <c r="I78" s="10"/>
    </row>
    <row r="79" spans="1:9" ht="25" customHeight="1" x14ac:dyDescent="0.2">
      <c r="B79" s="10" t="s">
        <v>72</v>
      </c>
      <c r="C79" s="15">
        <v>1972</v>
      </c>
      <c r="D79" s="15">
        <v>2526</v>
      </c>
      <c r="E79" s="15">
        <v>3129</v>
      </c>
      <c r="F79" s="15">
        <v>3867</v>
      </c>
      <c r="G79" s="15">
        <v>7623</v>
      </c>
      <c r="H79" s="10"/>
      <c r="I79" s="10"/>
    </row>
    <row r="80" spans="1:9" ht="25" customHeight="1" x14ac:dyDescent="0.2">
      <c r="B80" s="10" t="s">
        <v>22</v>
      </c>
      <c r="C80" s="15">
        <v>1150</v>
      </c>
      <c r="D80" s="15">
        <v>3582</v>
      </c>
      <c r="E80" s="15">
        <v>3010</v>
      </c>
      <c r="F80" s="15">
        <v>2307</v>
      </c>
      <c r="G80" s="15">
        <v>1671</v>
      </c>
      <c r="H80" s="10"/>
      <c r="I80" s="10"/>
    </row>
    <row r="81" spans="2:9" ht="25" customHeight="1" x14ac:dyDescent="0.3">
      <c r="B81" s="10" t="s">
        <v>73</v>
      </c>
      <c r="C81" s="15">
        <v>-1146</v>
      </c>
      <c r="D81" s="24">
        <v>-2167</v>
      </c>
      <c r="E81" s="15">
        <v>-2139</v>
      </c>
      <c r="F81" s="15">
        <v>-1637</v>
      </c>
      <c r="G81" s="15">
        <v>-917</v>
      </c>
      <c r="H81" s="10"/>
      <c r="I81" s="10"/>
    </row>
    <row r="82" spans="2:9" ht="25" customHeight="1" x14ac:dyDescent="0.2">
      <c r="B82" s="10" t="s">
        <v>74</v>
      </c>
      <c r="C82" s="15">
        <v>2613</v>
      </c>
      <c r="D82" s="15">
        <v>3547</v>
      </c>
      <c r="E82" s="15">
        <v>3974</v>
      </c>
      <c r="F82" s="15">
        <v>4674</v>
      </c>
      <c r="G82" s="15">
        <v>4811</v>
      </c>
      <c r="H82" s="10"/>
      <c r="I82" s="10"/>
    </row>
    <row r="83" spans="2:9" ht="25" customHeight="1" x14ac:dyDescent="0.2">
      <c r="B83" s="10" t="s">
        <v>75</v>
      </c>
      <c r="C83" s="15">
        <v>220</v>
      </c>
      <c r="D83" s="15">
        <v>661</v>
      </c>
      <c r="E83" s="15">
        <v>720</v>
      </c>
      <c r="F83" s="15">
        <v>667</v>
      </c>
      <c r="G83" s="15">
        <v>-2433</v>
      </c>
      <c r="H83" s="10"/>
      <c r="I83" s="10"/>
    </row>
    <row r="84" spans="2:9" ht="25" customHeight="1" x14ac:dyDescent="0.2">
      <c r="B84" s="10" t="s">
        <v>76</v>
      </c>
      <c r="C84" s="15">
        <v>-874</v>
      </c>
      <c r="D84" s="15">
        <v>-151</v>
      </c>
      <c r="E84" s="15">
        <v>-965</v>
      </c>
      <c r="F84" s="15">
        <v>-653</v>
      </c>
      <c r="G84" s="15">
        <v>-2190</v>
      </c>
      <c r="H84" s="10"/>
      <c r="I84" s="10"/>
    </row>
    <row r="85" spans="2:9" ht="25" customHeight="1" x14ac:dyDescent="0.2">
      <c r="B85" s="10" t="s">
        <v>77</v>
      </c>
      <c r="C85" s="15">
        <v>11</v>
      </c>
      <c r="D85" s="15">
        <v>317</v>
      </c>
      <c r="E85" s="15">
        <v>542</v>
      </c>
      <c r="F85" s="15">
        <v>266</v>
      </c>
      <c r="G85" s="15">
        <v>2179</v>
      </c>
      <c r="H85" s="10"/>
      <c r="I85" s="10"/>
    </row>
    <row r="86" spans="2:9" ht="25" customHeight="1" x14ac:dyDescent="0.2">
      <c r="B86" s="10" t="s">
        <v>79</v>
      </c>
      <c r="C86" s="15">
        <v>-733</v>
      </c>
      <c r="D86" s="15">
        <v>-281</v>
      </c>
      <c r="E86" s="15">
        <v>-594</v>
      </c>
      <c r="F86" s="15">
        <v>-608</v>
      </c>
      <c r="G86" s="15">
        <v>-240</v>
      </c>
      <c r="H86" s="10"/>
      <c r="I86" s="10"/>
    </row>
    <row r="87" spans="2:9" ht="25" customHeight="1" x14ac:dyDescent="0.2">
      <c r="B87" s="10" t="s">
        <v>78</v>
      </c>
      <c r="C87" s="15">
        <v>-398</v>
      </c>
      <c r="D87" s="15">
        <v>-153</v>
      </c>
      <c r="E87" s="15">
        <v>-127</v>
      </c>
      <c r="F87" s="15">
        <v>-659</v>
      </c>
      <c r="G87" s="15">
        <v>-256</v>
      </c>
      <c r="H87" s="10"/>
      <c r="I87" s="10"/>
    </row>
    <row r="88" spans="2:9" ht="25" customHeight="1" x14ac:dyDescent="0.2">
      <c r="B88" s="10" t="s">
        <v>80</v>
      </c>
      <c r="C88" s="15">
        <v>7</v>
      </c>
      <c r="D88" s="15">
        <v>781</v>
      </c>
      <c r="E88" s="15">
        <v>656</v>
      </c>
      <c r="F88" s="15">
        <v>154</v>
      </c>
      <c r="G88" s="15">
        <v>50</v>
      </c>
      <c r="H88" s="10"/>
      <c r="I88" s="10"/>
    </row>
    <row r="89" spans="2:9" ht="25" customHeight="1" x14ac:dyDescent="0.2">
      <c r="B89" s="10" t="s">
        <v>81</v>
      </c>
      <c r="C89" s="15">
        <v>0</v>
      </c>
      <c r="D89" s="15">
        <v>0</v>
      </c>
      <c r="E89" s="15">
        <v>0</v>
      </c>
      <c r="F89" s="15">
        <v>0</v>
      </c>
      <c r="G89" s="15">
        <v>4592</v>
      </c>
      <c r="H89" s="10"/>
      <c r="I89" s="10"/>
    </row>
    <row r="90" spans="2:9" ht="25" customHeight="1" x14ac:dyDescent="0.2">
      <c r="B90" s="11" t="s">
        <v>82</v>
      </c>
      <c r="C90" s="19">
        <f>SUM(C78:C89)</f>
        <v>9539</v>
      </c>
      <c r="D90" s="19">
        <f>SUM(D78:D89)</f>
        <v>17165</v>
      </c>
      <c r="E90" s="19">
        <f t="shared" ref="E90:G90" si="10">SUM(E78:E89)</f>
        <v>18673</v>
      </c>
      <c r="F90" s="19">
        <f t="shared" si="10"/>
        <v>20821</v>
      </c>
      <c r="G90" s="19">
        <f t="shared" si="10"/>
        <v>31977</v>
      </c>
      <c r="H90" s="10"/>
      <c r="I90" s="10"/>
    </row>
    <row r="91" spans="2:9" ht="25" customHeight="1" x14ac:dyDescent="0.2">
      <c r="B91" s="23" t="s">
        <v>83</v>
      </c>
      <c r="C91" s="15"/>
      <c r="D91" s="15"/>
      <c r="E91" s="15"/>
      <c r="F91" s="15"/>
      <c r="G91" s="15"/>
      <c r="H91" s="10"/>
      <c r="I91" s="10"/>
    </row>
    <row r="92" spans="2:9" ht="25" customHeight="1" x14ac:dyDescent="0.2">
      <c r="B92" s="10" t="s">
        <v>84</v>
      </c>
      <c r="C92" s="15">
        <v>-10272</v>
      </c>
      <c r="D92" s="15">
        <v>-1181</v>
      </c>
      <c r="E92" s="15">
        <v>-1003</v>
      </c>
      <c r="F92" s="15">
        <v>-1272</v>
      </c>
      <c r="G92" s="15">
        <v>-2039</v>
      </c>
      <c r="H92" s="10"/>
      <c r="I92" s="10"/>
    </row>
    <row r="93" spans="2:9" ht="25" customHeight="1" x14ac:dyDescent="0.2">
      <c r="B93" s="10" t="s">
        <v>87</v>
      </c>
      <c r="C93" s="15">
        <v>26151</v>
      </c>
      <c r="D93" s="15">
        <v>1113</v>
      </c>
      <c r="E93" s="15">
        <v>572</v>
      </c>
      <c r="F93" s="15">
        <v>776</v>
      </c>
      <c r="G93" s="15">
        <v>5848</v>
      </c>
      <c r="H93" s="10"/>
      <c r="I93" s="10"/>
    </row>
    <row r="94" spans="2:9" ht="25" customHeight="1" x14ac:dyDescent="0.2">
      <c r="B94" s="10" t="s">
        <v>85</v>
      </c>
      <c r="C94" s="15">
        <v>-148</v>
      </c>
      <c r="D94" s="15">
        <v>-27721</v>
      </c>
      <c r="E94" s="15">
        <v>-63</v>
      </c>
      <c r="F94" s="15">
        <v>0</v>
      </c>
      <c r="G94" s="15">
        <v>0</v>
      </c>
      <c r="H94" s="10"/>
      <c r="I94" s="10"/>
    </row>
    <row r="95" spans="2:9" ht="25" customHeight="1" x14ac:dyDescent="0.2">
      <c r="B95" s="28" t="s">
        <v>86</v>
      </c>
      <c r="C95" s="29">
        <v>-4511</v>
      </c>
      <c r="D95" s="29">
        <v>-8695</v>
      </c>
      <c r="E95" s="29">
        <v>-6866</v>
      </c>
      <c r="F95" s="29">
        <v>-21215</v>
      </c>
      <c r="G95" s="29">
        <v>-55663</v>
      </c>
      <c r="H95" s="10"/>
      <c r="I95" s="10"/>
    </row>
    <row r="96" spans="2:9" ht="25" customHeight="1" x14ac:dyDescent="0.2">
      <c r="B96" s="11" t="s">
        <v>88</v>
      </c>
      <c r="C96" s="19">
        <f>SUM(C92:C95)</f>
        <v>11220</v>
      </c>
      <c r="D96" s="19">
        <f t="shared" ref="D96:G96" si="11">SUM(D92:D95)</f>
        <v>-36484</v>
      </c>
      <c r="E96" s="19">
        <f t="shared" si="11"/>
        <v>-7360</v>
      </c>
      <c r="F96" s="19">
        <f t="shared" si="11"/>
        <v>-21711</v>
      </c>
      <c r="G96" s="19">
        <f t="shared" si="11"/>
        <v>-51854</v>
      </c>
      <c r="H96" s="10"/>
      <c r="I96" s="10"/>
    </row>
    <row r="97" spans="2:9" ht="25" customHeight="1" x14ac:dyDescent="0.2">
      <c r="B97" s="23" t="s">
        <v>89</v>
      </c>
      <c r="C97" s="15"/>
      <c r="D97" s="15"/>
      <c r="E97" s="15"/>
      <c r="F97" s="15"/>
      <c r="G97" s="15"/>
      <c r="H97" s="10"/>
      <c r="I97" s="10"/>
    </row>
    <row r="98" spans="2:9" ht="25" customHeight="1" x14ac:dyDescent="0.2">
      <c r="B98" s="10" t="s">
        <v>90</v>
      </c>
      <c r="C98" s="15">
        <v>-16248</v>
      </c>
      <c r="D98" s="15">
        <v>-1300</v>
      </c>
      <c r="E98" s="15">
        <v>-1202</v>
      </c>
      <c r="F98" s="15">
        <v>-600</v>
      </c>
      <c r="G98" s="15">
        <v>-95</v>
      </c>
      <c r="H98" s="10"/>
      <c r="I98" s="10"/>
    </row>
    <row r="99" spans="2:9" ht="25" customHeight="1" x14ac:dyDescent="0.2">
      <c r="B99" s="10" t="s">
        <v>91</v>
      </c>
      <c r="C99" s="15">
        <v>482</v>
      </c>
      <c r="D99" s="15">
        <v>1192</v>
      </c>
      <c r="E99" s="15">
        <v>742</v>
      </c>
      <c r="F99" s="15">
        <v>653</v>
      </c>
      <c r="G99" s="15">
        <v>1449</v>
      </c>
      <c r="H99" s="10"/>
      <c r="I99" s="10"/>
    </row>
    <row r="100" spans="2:9" ht="25" customHeight="1" x14ac:dyDescent="0.2">
      <c r="B100" s="10" t="s">
        <v>92</v>
      </c>
      <c r="C100" s="15">
        <v>-1093</v>
      </c>
      <c r="D100" s="15">
        <v>-1203</v>
      </c>
      <c r="E100" s="15">
        <v>-2040</v>
      </c>
      <c r="F100" s="15">
        <v>-900</v>
      </c>
      <c r="G100" s="15">
        <v>-111</v>
      </c>
      <c r="H100" s="10"/>
      <c r="I100" s="10"/>
    </row>
    <row r="101" spans="2:9" ht="25" customHeight="1" x14ac:dyDescent="0.2">
      <c r="B101" s="10" t="s">
        <v>93</v>
      </c>
      <c r="C101" s="15">
        <v>-3457</v>
      </c>
      <c r="D101" s="15">
        <v>-3668</v>
      </c>
      <c r="E101" s="15">
        <v>-4391</v>
      </c>
      <c r="F101" s="15">
        <v>-4743</v>
      </c>
      <c r="G101" s="15">
        <v>-5787</v>
      </c>
      <c r="H101" s="10"/>
      <c r="I101" s="10"/>
    </row>
    <row r="102" spans="2:9" ht="25" customHeight="1" x14ac:dyDescent="0.2">
      <c r="B102" s="10" t="s">
        <v>94</v>
      </c>
      <c r="C102" s="15">
        <v>0</v>
      </c>
      <c r="D102" s="15">
        <v>500</v>
      </c>
      <c r="E102" s="15">
        <v>-167</v>
      </c>
      <c r="F102" s="15">
        <v>1889</v>
      </c>
      <c r="G102" s="15">
        <v>-2285</v>
      </c>
      <c r="H102" s="10"/>
      <c r="I102" s="10"/>
    </row>
    <row r="103" spans="2:9" ht="25" customHeight="1" x14ac:dyDescent="0.2">
      <c r="B103" s="10" t="s">
        <v>95</v>
      </c>
      <c r="C103" s="15">
        <v>0</v>
      </c>
      <c r="D103" s="15">
        <v>0</v>
      </c>
      <c r="E103" s="15">
        <v>0</v>
      </c>
      <c r="F103" s="15">
        <v>0</v>
      </c>
      <c r="G103" s="15">
        <v>4954</v>
      </c>
      <c r="H103" s="10"/>
      <c r="I103" s="10"/>
    </row>
    <row r="104" spans="2:9" ht="25" customHeight="1" x14ac:dyDescent="0.2">
      <c r="B104" s="10" t="s">
        <v>96</v>
      </c>
      <c r="C104" s="15">
        <v>0</v>
      </c>
      <c r="D104" s="15">
        <v>0</v>
      </c>
      <c r="E104" s="15">
        <v>0</v>
      </c>
      <c r="F104" s="15">
        <v>1422</v>
      </c>
      <c r="G104" s="15">
        <v>3345</v>
      </c>
      <c r="H104" s="10"/>
      <c r="I104" s="10"/>
    </row>
    <row r="105" spans="2:9" ht="25" customHeight="1" x14ac:dyDescent="0.2">
      <c r="B105" s="10" t="s">
        <v>97</v>
      </c>
      <c r="C105" s="15">
        <v>0</v>
      </c>
      <c r="D105" s="15">
        <v>33494</v>
      </c>
      <c r="E105" s="15">
        <v>0</v>
      </c>
      <c r="F105" s="15">
        <v>19548</v>
      </c>
      <c r="G105" s="15">
        <v>46093</v>
      </c>
      <c r="H105" s="10"/>
      <c r="I105" s="10"/>
    </row>
    <row r="106" spans="2:9" ht="25" customHeight="1" x14ac:dyDescent="0.2">
      <c r="B106" s="10" t="s">
        <v>98</v>
      </c>
      <c r="C106" s="15">
        <v>-8250</v>
      </c>
      <c r="D106" s="15">
        <v>-21050</v>
      </c>
      <c r="E106" s="15">
        <v>-3500</v>
      </c>
      <c r="F106" s="15">
        <v>-15841</v>
      </c>
      <c r="G106" s="15">
        <v>-6942</v>
      </c>
      <c r="H106" s="10"/>
      <c r="I106" s="10"/>
    </row>
    <row r="107" spans="2:9" ht="25" customHeight="1" x14ac:dyDescent="0.2">
      <c r="B107" s="10" t="s">
        <v>99</v>
      </c>
      <c r="C107" s="15">
        <v>-560</v>
      </c>
      <c r="D107" s="15">
        <v>-55</v>
      </c>
      <c r="E107" s="15">
        <v>4</v>
      </c>
      <c r="F107" s="15">
        <v>-330</v>
      </c>
      <c r="G107" s="15">
        <v>-337</v>
      </c>
      <c r="H107" s="10"/>
      <c r="I107" s="10"/>
    </row>
    <row r="108" spans="2:9" ht="25" customHeight="1" x14ac:dyDescent="0.2">
      <c r="B108" s="11" t="s">
        <v>100</v>
      </c>
      <c r="C108" s="19">
        <f>SUM(C98:C107)</f>
        <v>-29126</v>
      </c>
      <c r="D108" s="19">
        <f t="shared" ref="D108:G108" si="12">SUM(D98:D107)</f>
        <v>7910</v>
      </c>
      <c r="E108" s="19">
        <f t="shared" si="12"/>
        <v>-10554</v>
      </c>
      <c r="F108" s="19">
        <f t="shared" si="12"/>
        <v>1098</v>
      </c>
      <c r="G108" s="19">
        <f t="shared" si="12"/>
        <v>40284</v>
      </c>
      <c r="H108" s="10"/>
      <c r="I108" s="10"/>
    </row>
    <row r="109" spans="2:9" ht="25" customHeight="1" x14ac:dyDescent="0.2">
      <c r="B109" s="10" t="s">
        <v>101</v>
      </c>
      <c r="C109" s="15">
        <v>-348</v>
      </c>
      <c r="D109" s="15">
        <v>-209</v>
      </c>
      <c r="E109" s="15">
        <v>-70</v>
      </c>
      <c r="F109" s="15">
        <v>124</v>
      </c>
      <c r="G109" s="15">
        <v>96</v>
      </c>
      <c r="H109" s="10"/>
      <c r="I109" s="10"/>
    </row>
    <row r="110" spans="2:9" ht="25" customHeight="1" x14ac:dyDescent="0.2">
      <c r="B110" s="23" t="s">
        <v>102</v>
      </c>
      <c r="C110" s="18">
        <f>SUM(C108,C109,C96,C90)</f>
        <v>-8715</v>
      </c>
      <c r="D110" s="18">
        <f t="shared" ref="D110:F110" si="13">SUM(D108,D109,D96,D90)</f>
        <v>-11618</v>
      </c>
      <c r="E110" s="18">
        <f t="shared" si="13"/>
        <v>689</v>
      </c>
      <c r="F110" s="18">
        <f t="shared" si="13"/>
        <v>332</v>
      </c>
      <c r="G110" s="18">
        <f>SUM(G109,G108,G96,G90)</f>
        <v>20503</v>
      </c>
      <c r="H110" s="10"/>
      <c r="I110" s="10"/>
    </row>
    <row r="111" spans="2:9" ht="25" customHeight="1" x14ac:dyDescent="0.2">
      <c r="B111" s="23" t="s">
        <v>103</v>
      </c>
      <c r="C111" s="18">
        <v>30098</v>
      </c>
      <c r="D111" s="18">
        <f>C112</f>
        <v>21383</v>
      </c>
      <c r="E111" s="18">
        <f t="shared" ref="E111:G111" si="14">D112</f>
        <v>9765</v>
      </c>
      <c r="F111" s="18">
        <f t="shared" si="14"/>
        <v>10454</v>
      </c>
      <c r="G111" s="18">
        <f t="shared" si="14"/>
        <v>10786</v>
      </c>
      <c r="H111" s="10"/>
      <c r="I111" s="10"/>
    </row>
    <row r="112" spans="2:9" ht="25" customHeight="1" x14ac:dyDescent="0.2">
      <c r="B112" s="23" t="s">
        <v>104</v>
      </c>
      <c r="C112" s="18">
        <f>C111+C110</f>
        <v>21383</v>
      </c>
      <c r="D112" s="18">
        <f t="shared" ref="D112:G112" si="15">D111+D110</f>
        <v>9765</v>
      </c>
      <c r="E112" s="18">
        <f t="shared" si="15"/>
        <v>10454</v>
      </c>
      <c r="F112" s="18">
        <f t="shared" si="15"/>
        <v>10786</v>
      </c>
      <c r="G112" s="18">
        <f t="shared" si="15"/>
        <v>31289</v>
      </c>
      <c r="H112" s="10"/>
      <c r="I112" s="10"/>
    </row>
    <row r="113" spans="2:9" ht="25" customHeight="1" x14ac:dyDescent="0.2">
      <c r="B113" s="23" t="s">
        <v>105</v>
      </c>
      <c r="C113" s="18">
        <f>C90+C95</f>
        <v>5028</v>
      </c>
      <c r="D113" s="18">
        <f t="shared" ref="D113:G113" si="16">D90+D95</f>
        <v>8470</v>
      </c>
      <c r="E113" s="18">
        <f t="shared" si="16"/>
        <v>11807</v>
      </c>
      <c r="F113" s="18">
        <f t="shared" si="16"/>
        <v>-394</v>
      </c>
      <c r="G113" s="18">
        <f t="shared" si="16"/>
        <v>-23686</v>
      </c>
      <c r="H113" s="10"/>
      <c r="I113" s="10"/>
    </row>
    <row r="114" spans="2:9" ht="25" customHeight="1" x14ac:dyDescent="0.2">
      <c r="B114" s="10"/>
      <c r="C114" s="15"/>
      <c r="D114" s="15"/>
      <c r="E114" s="15"/>
      <c r="F114" s="15"/>
      <c r="G114" s="15"/>
      <c r="H114" s="10"/>
      <c r="I114" s="10"/>
    </row>
    <row r="115" spans="2:9" ht="25" customHeight="1" x14ac:dyDescent="0.2">
      <c r="B115" s="10"/>
      <c r="C115" s="15"/>
      <c r="D115" s="15"/>
      <c r="E115" s="15"/>
      <c r="F115" s="15"/>
      <c r="G115" s="15"/>
      <c r="H115" s="10"/>
      <c r="I115" s="10"/>
    </row>
    <row r="116" spans="2:9" ht="25" customHeight="1" x14ac:dyDescent="0.2">
      <c r="B116" s="10"/>
      <c r="C116" s="15"/>
      <c r="D116" s="15"/>
      <c r="E116" s="15"/>
      <c r="F116" s="15"/>
      <c r="G116" s="15"/>
      <c r="H116" s="10"/>
      <c r="I116" s="10"/>
    </row>
    <row r="117" spans="2:9" ht="25" customHeight="1" x14ac:dyDescent="0.2">
      <c r="B117" s="10"/>
      <c r="C117" s="15"/>
      <c r="D117" s="15"/>
      <c r="E117" s="15"/>
      <c r="F117" s="15"/>
      <c r="G117" s="15"/>
      <c r="H117" s="10"/>
      <c r="I117" s="10"/>
    </row>
    <row r="118" spans="2:9" ht="25" customHeight="1" x14ac:dyDescent="0.2">
      <c r="B118" s="10"/>
      <c r="C118" s="15"/>
      <c r="D118" s="15"/>
      <c r="E118" s="15"/>
      <c r="F118" s="15"/>
      <c r="G118" s="15"/>
      <c r="H118" s="10"/>
      <c r="I118" s="10"/>
    </row>
    <row r="119" spans="2:9" ht="25" customHeight="1" x14ac:dyDescent="0.2">
      <c r="B119" s="10"/>
      <c r="C119" s="15"/>
      <c r="D119" s="15"/>
      <c r="E119" s="15"/>
      <c r="F119" s="15"/>
      <c r="G119" s="15"/>
      <c r="H119" s="10"/>
      <c r="I119" s="10"/>
    </row>
    <row r="120" spans="2:9" ht="25" customHeight="1" x14ac:dyDescent="0.2">
      <c r="B120" s="10"/>
      <c r="C120" s="15"/>
      <c r="D120" s="15"/>
      <c r="E120" s="15"/>
      <c r="F120" s="15"/>
      <c r="G120" s="15"/>
      <c r="H120" s="10"/>
      <c r="I120" s="10"/>
    </row>
    <row r="121" spans="2:9" ht="25" customHeight="1" x14ac:dyDescent="0.2">
      <c r="B121" s="10"/>
      <c r="C121" s="15"/>
      <c r="D121" s="15"/>
      <c r="E121" s="15"/>
      <c r="F121" s="15"/>
      <c r="G121" s="15"/>
      <c r="H121" s="10"/>
      <c r="I121" s="10"/>
    </row>
    <row r="122" spans="2:9" ht="25" customHeight="1" x14ac:dyDescent="0.2">
      <c r="B122" s="10"/>
      <c r="C122" s="15"/>
      <c r="D122" s="15"/>
      <c r="E122" s="15"/>
      <c r="F122" s="15"/>
      <c r="G122" s="15"/>
      <c r="H122" s="10"/>
      <c r="I122" s="10"/>
    </row>
    <row r="123" spans="2:9" ht="25" customHeight="1" x14ac:dyDescent="0.2">
      <c r="B123" s="10"/>
      <c r="C123" s="15"/>
      <c r="D123" s="15"/>
      <c r="E123" s="15"/>
      <c r="F123" s="15"/>
      <c r="G123" s="15"/>
      <c r="H123" s="10"/>
      <c r="I123" s="10"/>
    </row>
    <row r="124" spans="2:9" ht="25" customHeight="1" x14ac:dyDescent="0.2">
      <c r="B124" s="10"/>
      <c r="C124" s="15"/>
      <c r="D124" s="15"/>
      <c r="E124" s="15"/>
      <c r="F124" s="15"/>
      <c r="G124" s="15"/>
      <c r="H124" s="10"/>
      <c r="I124" s="10"/>
    </row>
    <row r="125" spans="2:9" ht="25" customHeight="1" x14ac:dyDescent="0.2">
      <c r="B125" s="10"/>
      <c r="C125" s="15"/>
      <c r="D125" s="15"/>
      <c r="E125" s="15"/>
      <c r="F125" s="15"/>
      <c r="G125" s="15"/>
      <c r="H125" s="10"/>
      <c r="I125" s="10"/>
    </row>
    <row r="126" spans="2:9" ht="25" customHeight="1" x14ac:dyDescent="0.2">
      <c r="B126" s="10"/>
      <c r="C126" s="15"/>
      <c r="D126" s="15"/>
      <c r="E126" s="15"/>
      <c r="F126" s="15"/>
      <c r="G126" s="15"/>
      <c r="H126" s="10"/>
      <c r="I126" s="10"/>
    </row>
    <row r="127" spans="2:9" ht="25" customHeight="1" x14ac:dyDescent="0.2">
      <c r="B127" s="10"/>
      <c r="C127" s="15"/>
      <c r="D127" s="15"/>
      <c r="E127" s="15"/>
      <c r="F127" s="15"/>
      <c r="G127" s="15"/>
      <c r="H127" s="10"/>
      <c r="I127" s="10"/>
    </row>
    <row r="128" spans="2:9" ht="25" customHeight="1" x14ac:dyDescent="0.2">
      <c r="B128" s="10"/>
      <c r="C128" s="15"/>
      <c r="D128" s="15"/>
      <c r="E128" s="15"/>
      <c r="F128" s="15"/>
      <c r="G128" s="15"/>
      <c r="H128" s="10"/>
      <c r="I128" s="10"/>
    </row>
    <row r="129" spans="2:9" ht="25" customHeight="1" x14ac:dyDescent="0.2">
      <c r="B129" s="10"/>
      <c r="C129" s="15"/>
      <c r="D129" s="15"/>
      <c r="E129" s="15"/>
      <c r="F129" s="15"/>
      <c r="G129" s="15"/>
      <c r="H129" s="10"/>
      <c r="I129" s="10"/>
    </row>
    <row r="130" spans="2:9" ht="25" customHeight="1" x14ac:dyDescent="0.2">
      <c r="B130" s="10"/>
      <c r="C130" s="15"/>
      <c r="D130" s="15"/>
      <c r="E130" s="15"/>
      <c r="F130" s="15"/>
      <c r="G130" s="15"/>
      <c r="H130" s="10"/>
      <c r="I130" s="10"/>
    </row>
    <row r="131" spans="2:9" ht="25" customHeight="1" x14ac:dyDescent="0.2">
      <c r="B131" s="10"/>
      <c r="C131" s="15"/>
      <c r="D131" s="15"/>
      <c r="E131" s="15"/>
      <c r="F131" s="15"/>
      <c r="G131" s="15"/>
      <c r="H131" s="10"/>
      <c r="I131" s="10"/>
    </row>
    <row r="132" spans="2:9" ht="25" customHeight="1" x14ac:dyDescent="0.2">
      <c r="B132" s="10"/>
      <c r="C132" s="15"/>
      <c r="D132" s="15"/>
      <c r="E132" s="15"/>
      <c r="F132" s="15"/>
      <c r="G132" s="15"/>
      <c r="H132" s="10"/>
      <c r="I132" s="10"/>
    </row>
    <row r="133" spans="2:9" ht="25" customHeight="1" x14ac:dyDescent="0.2">
      <c r="B133" s="10"/>
      <c r="C133" s="15"/>
      <c r="D133" s="15"/>
      <c r="E133" s="15"/>
      <c r="F133" s="15"/>
      <c r="G133" s="15"/>
      <c r="H133" s="10"/>
      <c r="I133" s="10"/>
    </row>
    <row r="134" spans="2:9" ht="25" customHeight="1" x14ac:dyDescent="0.2">
      <c r="B134" s="10"/>
      <c r="C134" s="15"/>
      <c r="D134" s="15"/>
      <c r="E134" s="15"/>
      <c r="F134" s="15"/>
      <c r="G134" s="15"/>
      <c r="H134" s="10"/>
      <c r="I134" s="10"/>
    </row>
    <row r="135" spans="2:9" ht="25" customHeight="1" x14ac:dyDescent="0.2">
      <c r="B135" s="10"/>
      <c r="C135" s="15"/>
      <c r="D135" s="15"/>
      <c r="E135" s="15"/>
      <c r="F135" s="15"/>
      <c r="G135" s="15"/>
      <c r="H135" s="10"/>
      <c r="I135" s="10"/>
    </row>
    <row r="136" spans="2:9" ht="25" customHeight="1" x14ac:dyDescent="0.2">
      <c r="B136" s="10"/>
      <c r="C136" s="15"/>
      <c r="D136" s="15"/>
      <c r="E136" s="15"/>
      <c r="F136" s="15"/>
      <c r="G136" s="15"/>
      <c r="H136" s="10"/>
      <c r="I136" s="10"/>
    </row>
    <row r="137" spans="2:9" ht="25" customHeight="1" x14ac:dyDescent="0.2">
      <c r="B137" s="10"/>
      <c r="C137" s="15"/>
      <c r="D137" s="15"/>
      <c r="E137" s="15"/>
      <c r="F137" s="15"/>
      <c r="G137" s="15"/>
      <c r="H137" s="10"/>
      <c r="I137" s="10"/>
    </row>
    <row r="138" spans="2:9" ht="25" customHeight="1" x14ac:dyDescent="0.2">
      <c r="B138" s="10"/>
      <c r="C138" s="15"/>
      <c r="D138" s="15"/>
      <c r="E138" s="15"/>
      <c r="F138" s="15"/>
      <c r="G138" s="15"/>
      <c r="H138" s="10"/>
      <c r="I138" s="10"/>
    </row>
    <row r="139" spans="2:9" ht="25" customHeight="1" x14ac:dyDescent="0.2">
      <c r="B139" s="10"/>
      <c r="C139" s="15"/>
      <c r="D139" s="15"/>
      <c r="E139" s="15"/>
      <c r="F139" s="15"/>
      <c r="G139" s="15"/>
      <c r="H139" s="10"/>
      <c r="I139" s="10"/>
    </row>
    <row r="140" spans="2:9" ht="25" customHeight="1" x14ac:dyDescent="0.2">
      <c r="B140" s="10"/>
      <c r="C140" s="15"/>
      <c r="D140" s="15"/>
      <c r="E140" s="15"/>
      <c r="F140" s="15"/>
      <c r="G140" s="15"/>
      <c r="H140" s="10"/>
      <c r="I140" s="10"/>
    </row>
    <row r="141" spans="2:9" ht="25" customHeight="1" x14ac:dyDescent="0.2">
      <c r="B141" s="10"/>
      <c r="C141" s="15"/>
      <c r="D141" s="15"/>
      <c r="E141" s="15"/>
      <c r="F141" s="15"/>
      <c r="G141" s="15"/>
      <c r="H141" s="10"/>
      <c r="I141" s="10"/>
    </row>
    <row r="142" spans="2:9" ht="25" customHeight="1" x14ac:dyDescent="0.2">
      <c r="B142" s="10"/>
      <c r="C142" s="15"/>
      <c r="D142" s="15"/>
      <c r="E142" s="15"/>
      <c r="F142" s="15"/>
      <c r="G142" s="15"/>
      <c r="H142" s="10"/>
      <c r="I142" s="10"/>
    </row>
    <row r="143" spans="2:9" ht="25" customHeight="1" x14ac:dyDescent="0.2">
      <c r="B143" s="10"/>
      <c r="C143" s="15"/>
      <c r="D143" s="15"/>
      <c r="E143" s="15"/>
      <c r="F143" s="15"/>
      <c r="G143" s="15"/>
      <c r="H143" s="10"/>
      <c r="I143" s="10"/>
    </row>
    <row r="144" spans="2:9" ht="25" customHeight="1" x14ac:dyDescent="0.2">
      <c r="B144" s="10"/>
      <c r="C144" s="15"/>
      <c r="D144" s="15"/>
      <c r="E144" s="15"/>
      <c r="F144" s="15"/>
      <c r="G144" s="15"/>
      <c r="H144" s="10"/>
      <c r="I144" s="10"/>
    </row>
    <row r="145" spans="2:9" ht="25" customHeight="1" x14ac:dyDescent="0.2">
      <c r="B145" s="10"/>
      <c r="C145" s="15"/>
      <c r="D145" s="15"/>
      <c r="E145" s="15"/>
      <c r="F145" s="15"/>
      <c r="G145" s="15"/>
      <c r="H145" s="10"/>
      <c r="I145" s="10"/>
    </row>
    <row r="146" spans="2:9" ht="25" customHeight="1" x14ac:dyDescent="0.2">
      <c r="B146" s="10"/>
      <c r="C146" s="15"/>
      <c r="D146" s="15"/>
      <c r="E146" s="15"/>
      <c r="F146" s="15"/>
      <c r="G146" s="15"/>
      <c r="H146" s="10"/>
      <c r="I146" s="10"/>
    </row>
    <row r="147" spans="2:9" ht="25" customHeight="1" x14ac:dyDescent="0.2">
      <c r="B147" s="10"/>
      <c r="C147" s="15"/>
      <c r="D147" s="15"/>
      <c r="E147" s="15"/>
      <c r="F147" s="15"/>
      <c r="G147" s="15"/>
      <c r="H147" s="10"/>
      <c r="I147" s="10"/>
    </row>
    <row r="148" spans="2:9" ht="25" customHeight="1" x14ac:dyDescent="0.2">
      <c r="B148" s="10"/>
      <c r="C148" s="15"/>
      <c r="D148" s="15"/>
      <c r="E148" s="15"/>
      <c r="F148" s="15"/>
      <c r="G148" s="15"/>
      <c r="H148" s="10"/>
      <c r="I148" s="10"/>
    </row>
    <row r="149" spans="2:9" ht="25" customHeight="1" x14ac:dyDescent="0.2">
      <c r="B149" s="10"/>
      <c r="C149" s="15"/>
      <c r="D149" s="15"/>
      <c r="E149" s="15"/>
      <c r="F149" s="15"/>
      <c r="G149" s="15"/>
      <c r="H149" s="10"/>
      <c r="I149" s="10"/>
    </row>
    <row r="150" spans="2:9" ht="25" customHeight="1" x14ac:dyDescent="0.2">
      <c r="B150" s="10"/>
      <c r="C150" s="15"/>
      <c r="D150" s="15"/>
      <c r="E150" s="15"/>
      <c r="F150" s="15"/>
      <c r="G150" s="15"/>
      <c r="H150" s="10"/>
      <c r="I150" s="10"/>
    </row>
    <row r="151" spans="2:9" ht="25" customHeight="1" x14ac:dyDescent="0.2">
      <c r="B151" s="10"/>
      <c r="C151" s="15"/>
      <c r="D151" s="15"/>
      <c r="E151" s="15"/>
      <c r="F151" s="15"/>
      <c r="G151" s="15"/>
      <c r="H151" s="10"/>
      <c r="I151" s="10"/>
    </row>
    <row r="152" spans="2:9" ht="25" customHeight="1" x14ac:dyDescent="0.2">
      <c r="B152" s="10"/>
      <c r="C152" s="15"/>
      <c r="D152" s="15"/>
      <c r="E152" s="15"/>
      <c r="F152" s="15"/>
      <c r="G152" s="15"/>
      <c r="H152" s="10"/>
      <c r="I152" s="10"/>
    </row>
    <row r="153" spans="2:9" ht="25" customHeight="1" x14ac:dyDescent="0.2">
      <c r="B153" s="10"/>
      <c r="C153" s="15"/>
      <c r="D153" s="15"/>
      <c r="E153" s="15"/>
      <c r="F153" s="15"/>
      <c r="G153" s="15"/>
      <c r="H153" s="10"/>
      <c r="I153" s="10"/>
    </row>
    <row r="154" spans="2:9" ht="25" customHeight="1" x14ac:dyDescent="0.2">
      <c r="B154" s="10"/>
      <c r="C154" s="15"/>
      <c r="D154" s="15"/>
      <c r="E154" s="15"/>
      <c r="F154" s="15"/>
      <c r="G154" s="15"/>
      <c r="H154" s="10"/>
      <c r="I154" s="10"/>
    </row>
    <row r="155" spans="2:9" ht="25" customHeight="1" x14ac:dyDescent="0.2">
      <c r="B155" s="10"/>
      <c r="C155" s="15"/>
      <c r="D155" s="15"/>
      <c r="E155" s="15"/>
      <c r="F155" s="15"/>
      <c r="G155" s="15"/>
      <c r="H155" s="10"/>
      <c r="I155" s="10"/>
    </row>
    <row r="156" spans="2:9" ht="25" customHeight="1" x14ac:dyDescent="0.2">
      <c r="B156" s="10"/>
      <c r="C156" s="15"/>
      <c r="D156" s="15"/>
      <c r="E156" s="15"/>
      <c r="F156" s="15"/>
      <c r="G156" s="15"/>
      <c r="H156" s="10"/>
      <c r="I156" s="10"/>
    </row>
    <row r="157" spans="2:9" ht="25" customHeight="1" x14ac:dyDescent="0.2">
      <c r="B157" s="10"/>
      <c r="C157" s="15"/>
      <c r="D157" s="15"/>
      <c r="E157" s="15"/>
      <c r="F157" s="15"/>
      <c r="G157" s="15"/>
      <c r="H157" s="10"/>
      <c r="I157" s="10"/>
    </row>
    <row r="158" spans="2:9" ht="25" customHeight="1" x14ac:dyDescent="0.2">
      <c r="B158" s="10"/>
      <c r="C158" s="15"/>
      <c r="D158" s="15"/>
      <c r="E158" s="15"/>
      <c r="F158" s="15"/>
      <c r="G158" s="15"/>
      <c r="H158" s="10"/>
      <c r="I158" s="10"/>
    </row>
    <row r="159" spans="2:9" ht="25" customHeight="1" x14ac:dyDescent="0.2">
      <c r="B159" s="10"/>
      <c r="C159" s="15"/>
      <c r="D159" s="15"/>
      <c r="E159" s="15"/>
      <c r="F159" s="15"/>
      <c r="G159" s="15"/>
      <c r="H159" s="10"/>
      <c r="I159" s="10"/>
    </row>
    <row r="160" spans="2:9" ht="25" customHeight="1" x14ac:dyDescent="0.2">
      <c r="B160" s="10"/>
      <c r="C160" s="15"/>
      <c r="D160" s="15"/>
      <c r="E160" s="15"/>
      <c r="F160" s="15"/>
      <c r="G160" s="15"/>
      <c r="H160" s="10"/>
      <c r="I160" s="10"/>
    </row>
    <row r="161" spans="2:9" ht="25" customHeight="1" x14ac:dyDescent="0.2">
      <c r="B161" s="10"/>
      <c r="C161" s="15"/>
      <c r="D161" s="15"/>
      <c r="E161" s="15"/>
      <c r="F161" s="15"/>
      <c r="G161" s="15"/>
      <c r="H161" s="10"/>
      <c r="I161" s="10"/>
    </row>
    <row r="162" spans="2:9" ht="25" customHeight="1" x14ac:dyDescent="0.2">
      <c r="B162" s="10"/>
      <c r="C162" s="15"/>
      <c r="D162" s="15"/>
      <c r="E162" s="15"/>
      <c r="F162" s="15"/>
      <c r="G162" s="15"/>
      <c r="H162" s="10"/>
      <c r="I162" s="10"/>
    </row>
    <row r="163" spans="2:9" ht="25" customHeight="1" x14ac:dyDescent="0.2">
      <c r="B163" s="10"/>
      <c r="C163" s="15"/>
      <c r="D163" s="15"/>
      <c r="E163" s="15"/>
      <c r="F163" s="15"/>
      <c r="G163" s="15"/>
      <c r="H163" s="10"/>
      <c r="I163" s="10"/>
    </row>
    <row r="164" spans="2:9" ht="25" customHeight="1" x14ac:dyDescent="0.2">
      <c r="B164" s="10"/>
      <c r="C164" s="15"/>
      <c r="D164" s="15"/>
      <c r="E164" s="15"/>
      <c r="F164" s="15"/>
      <c r="G164" s="15"/>
      <c r="H164" s="10"/>
      <c r="I164" s="10"/>
    </row>
    <row r="165" spans="2:9" ht="25" customHeight="1" x14ac:dyDescent="0.2">
      <c r="B165" s="10"/>
      <c r="C165" s="15"/>
      <c r="D165" s="15"/>
      <c r="E165" s="15"/>
      <c r="F165" s="15"/>
      <c r="G165" s="15"/>
      <c r="H165" s="10"/>
      <c r="I165" s="10"/>
    </row>
    <row r="166" spans="2:9" ht="25" customHeight="1" x14ac:dyDescent="0.2">
      <c r="B166" s="10"/>
      <c r="C166" s="15"/>
      <c r="D166" s="15"/>
      <c r="E166" s="15"/>
      <c r="F166" s="15"/>
      <c r="G166" s="15"/>
      <c r="H166" s="10"/>
      <c r="I166" s="10"/>
    </row>
    <row r="167" spans="2:9" ht="25" customHeight="1" x14ac:dyDescent="0.2">
      <c r="B167" s="10"/>
      <c r="C167" s="15"/>
      <c r="D167" s="15"/>
      <c r="E167" s="15"/>
      <c r="F167" s="15"/>
      <c r="G167" s="15"/>
      <c r="H167" s="10"/>
      <c r="I167" s="10"/>
    </row>
    <row r="168" spans="2:9" ht="25" customHeight="1" x14ac:dyDescent="0.2">
      <c r="B168" s="10"/>
      <c r="C168" s="15"/>
      <c r="D168" s="15"/>
      <c r="E168" s="15"/>
      <c r="F168" s="15"/>
      <c r="G168" s="15"/>
      <c r="H168" s="10"/>
      <c r="I168" s="10"/>
    </row>
    <row r="169" spans="2:9" ht="25" customHeight="1" x14ac:dyDescent="0.2">
      <c r="B169" s="10"/>
      <c r="C169" s="15"/>
      <c r="D169" s="15"/>
      <c r="E169" s="15"/>
      <c r="F169" s="15"/>
      <c r="G169" s="15"/>
      <c r="H169" s="10"/>
      <c r="I169" s="10"/>
    </row>
    <row r="170" spans="2:9" ht="25" customHeight="1" x14ac:dyDescent="0.2">
      <c r="B170" s="10"/>
      <c r="C170" s="15"/>
      <c r="D170" s="15"/>
      <c r="E170" s="15"/>
      <c r="F170" s="15"/>
      <c r="G170" s="15"/>
      <c r="H170" s="10"/>
      <c r="I170" s="10"/>
    </row>
    <row r="171" spans="2:9" ht="25" customHeight="1" x14ac:dyDescent="0.2">
      <c r="B171" s="10"/>
      <c r="C171" s="15"/>
      <c r="D171" s="15"/>
      <c r="E171" s="15"/>
      <c r="F171" s="15"/>
      <c r="G171" s="15"/>
      <c r="H171" s="10"/>
      <c r="I171" s="10"/>
    </row>
    <row r="172" spans="2:9" ht="25" customHeight="1" x14ac:dyDescent="0.2">
      <c r="B172" s="10"/>
      <c r="C172" s="15"/>
      <c r="D172" s="15"/>
      <c r="E172" s="15"/>
      <c r="F172" s="15"/>
      <c r="G172" s="15"/>
      <c r="H172" s="10"/>
      <c r="I172" s="10"/>
    </row>
    <row r="173" spans="2:9" ht="25" customHeight="1" x14ac:dyDescent="0.2">
      <c r="B173" s="10"/>
      <c r="C173" s="15"/>
      <c r="D173" s="15"/>
      <c r="E173" s="15"/>
      <c r="F173" s="15"/>
      <c r="G173" s="15"/>
      <c r="H173" s="10"/>
      <c r="I173" s="10"/>
    </row>
    <row r="174" spans="2:9" ht="25" customHeight="1" x14ac:dyDescent="0.2">
      <c r="B174" s="10"/>
      <c r="C174" s="15"/>
      <c r="D174" s="15"/>
      <c r="E174" s="15"/>
      <c r="F174" s="15"/>
      <c r="G174" s="15"/>
      <c r="H174" s="10"/>
      <c r="I174" s="10"/>
    </row>
    <row r="175" spans="2:9" ht="25" customHeight="1" x14ac:dyDescent="0.2">
      <c r="B175" s="10"/>
      <c r="C175" s="15"/>
      <c r="D175" s="15"/>
      <c r="E175" s="15"/>
      <c r="F175" s="15"/>
      <c r="G175" s="15"/>
      <c r="H175" s="10"/>
      <c r="I175" s="10"/>
    </row>
    <row r="176" spans="2:9" ht="25" customHeight="1" x14ac:dyDescent="0.2">
      <c r="B176" s="10"/>
      <c r="C176" s="15"/>
      <c r="D176" s="15"/>
      <c r="E176" s="15"/>
      <c r="F176" s="15"/>
      <c r="G176" s="15"/>
      <c r="H176" s="10"/>
      <c r="I176" s="10"/>
    </row>
    <row r="177" spans="2:9" ht="25" customHeight="1" x14ac:dyDescent="0.2">
      <c r="B177" s="10"/>
      <c r="C177" s="15"/>
      <c r="D177" s="15"/>
      <c r="E177" s="15"/>
      <c r="F177" s="15"/>
      <c r="G177" s="15"/>
      <c r="H177" s="10"/>
      <c r="I177" s="10"/>
    </row>
    <row r="178" spans="2:9" ht="25" customHeight="1" x14ac:dyDescent="0.2">
      <c r="B178" s="10"/>
      <c r="C178" s="15"/>
      <c r="D178" s="15"/>
      <c r="E178" s="15"/>
      <c r="F178" s="15"/>
      <c r="G178" s="15"/>
      <c r="H178" s="10"/>
      <c r="I178" s="10"/>
    </row>
    <row r="179" spans="2:9" ht="25" customHeight="1" x14ac:dyDescent="0.2">
      <c r="B179" s="10"/>
      <c r="C179" s="15"/>
      <c r="D179" s="15"/>
      <c r="E179" s="15"/>
      <c r="F179" s="15"/>
      <c r="G179" s="15"/>
      <c r="H179" s="10"/>
      <c r="I179" s="10"/>
    </row>
    <row r="180" spans="2:9" ht="25" customHeight="1" x14ac:dyDescent="0.2">
      <c r="B180" s="10"/>
      <c r="C180" s="15"/>
      <c r="D180" s="15"/>
      <c r="E180" s="15"/>
      <c r="F180" s="15"/>
      <c r="G180" s="15"/>
      <c r="H180" s="10"/>
      <c r="I180" s="10"/>
    </row>
    <row r="181" spans="2:9" ht="25" customHeight="1" x14ac:dyDescent="0.2">
      <c r="B181" s="10"/>
      <c r="C181" s="15"/>
      <c r="D181" s="15"/>
      <c r="E181" s="15"/>
      <c r="F181" s="15"/>
      <c r="G181" s="15"/>
      <c r="H181" s="10"/>
      <c r="I181" s="10"/>
    </row>
    <row r="182" spans="2:9" ht="25" customHeight="1" x14ac:dyDescent="0.2">
      <c r="B182" s="10"/>
      <c r="C182" s="15"/>
      <c r="D182" s="15"/>
      <c r="E182" s="15"/>
      <c r="F182" s="15"/>
      <c r="G182" s="15"/>
      <c r="H182" s="10"/>
      <c r="I182" s="10"/>
    </row>
    <row r="183" spans="2:9" ht="25" customHeight="1" x14ac:dyDescent="0.2">
      <c r="B183" s="10"/>
      <c r="C183" s="15"/>
      <c r="D183" s="15"/>
      <c r="E183" s="15"/>
      <c r="F183" s="15"/>
      <c r="G183" s="15"/>
      <c r="H183" s="10"/>
      <c r="I183" s="10"/>
    </row>
    <row r="184" spans="2:9" ht="25" customHeight="1" x14ac:dyDescent="0.2">
      <c r="B184" s="10"/>
      <c r="C184" s="15"/>
      <c r="D184" s="15"/>
      <c r="E184" s="15"/>
      <c r="F184" s="15"/>
      <c r="G184" s="15"/>
      <c r="H184" s="10"/>
      <c r="I184" s="10"/>
    </row>
    <row r="185" spans="2:9" ht="25" customHeight="1" x14ac:dyDescent="0.2">
      <c r="B185" s="10"/>
      <c r="C185" s="15"/>
      <c r="D185" s="15"/>
      <c r="E185" s="15"/>
      <c r="F185" s="15"/>
      <c r="G185" s="15"/>
      <c r="H185" s="10"/>
      <c r="I185" s="10"/>
    </row>
    <row r="186" spans="2:9" ht="25" customHeight="1" x14ac:dyDescent="0.2">
      <c r="B186" s="10"/>
      <c r="C186" s="15"/>
      <c r="D186" s="15"/>
      <c r="E186" s="15"/>
      <c r="F186" s="15"/>
      <c r="G186" s="15"/>
      <c r="H186" s="10"/>
      <c r="I186" s="10"/>
    </row>
    <row r="187" spans="2:9" ht="25" customHeight="1" x14ac:dyDescent="0.2">
      <c r="B187" s="10"/>
      <c r="C187" s="15"/>
      <c r="D187" s="15"/>
      <c r="E187" s="15"/>
      <c r="F187" s="15"/>
      <c r="G187" s="15"/>
      <c r="H187" s="10"/>
      <c r="I187" s="10"/>
    </row>
    <row r="188" spans="2:9" ht="25" customHeight="1" x14ac:dyDescent="0.2">
      <c r="B188" s="10"/>
      <c r="C188" s="15"/>
      <c r="D188" s="15"/>
      <c r="E188" s="15"/>
      <c r="F188" s="15"/>
      <c r="G188" s="15"/>
      <c r="H188" s="10"/>
      <c r="I188" s="10"/>
    </row>
    <row r="189" spans="2:9" ht="25" customHeight="1" x14ac:dyDescent="0.2">
      <c r="B189" s="10"/>
      <c r="C189" s="15"/>
      <c r="D189" s="15"/>
      <c r="E189" s="15"/>
      <c r="F189" s="15"/>
      <c r="G189" s="15"/>
      <c r="H189" s="10"/>
      <c r="I189" s="10"/>
    </row>
    <row r="190" spans="2:9" ht="25" customHeight="1" x14ac:dyDescent="0.2">
      <c r="B190" s="10"/>
      <c r="C190" s="15"/>
      <c r="D190" s="15"/>
      <c r="E190" s="15"/>
      <c r="F190" s="15"/>
      <c r="G190" s="15"/>
      <c r="H190" s="10"/>
      <c r="I190" s="10"/>
    </row>
    <row r="191" spans="2:9" ht="25" customHeight="1" x14ac:dyDescent="0.2">
      <c r="B191" s="10"/>
      <c r="C191" s="15"/>
      <c r="D191" s="15"/>
      <c r="E191" s="15"/>
      <c r="F191" s="15"/>
      <c r="G191" s="15"/>
      <c r="H191" s="10"/>
      <c r="I191" s="10"/>
    </row>
    <row r="192" spans="2:9" ht="25" customHeight="1" x14ac:dyDescent="0.2">
      <c r="B192" s="10"/>
      <c r="C192" s="15"/>
      <c r="D192" s="15"/>
      <c r="E192" s="15"/>
      <c r="F192" s="15"/>
      <c r="G192" s="15"/>
      <c r="H192" s="10"/>
      <c r="I192" s="10"/>
    </row>
    <row r="193" spans="2:9" ht="25" customHeight="1" x14ac:dyDescent="0.2">
      <c r="B193" s="10"/>
      <c r="C193" s="10"/>
      <c r="D193" s="10"/>
      <c r="E193" s="10"/>
      <c r="F193" s="10"/>
      <c r="G193" s="10"/>
      <c r="H193" s="10"/>
      <c r="I193" s="10"/>
    </row>
    <row r="194" spans="2:9" ht="25" customHeight="1" x14ac:dyDescent="0.2">
      <c r="B194" s="10"/>
      <c r="C194" s="10"/>
      <c r="D194" s="10"/>
      <c r="E194" s="10"/>
      <c r="F194" s="10"/>
      <c r="G194" s="10"/>
      <c r="H194" s="10"/>
      <c r="I194" s="10"/>
    </row>
    <row r="195" spans="2:9" ht="25" customHeight="1" x14ac:dyDescent="0.2">
      <c r="B195" s="10"/>
      <c r="C195" s="10"/>
      <c r="D195" s="10"/>
      <c r="E195" s="10"/>
      <c r="F195" s="10"/>
      <c r="G195" s="10"/>
      <c r="H195" s="10"/>
      <c r="I195" s="10"/>
    </row>
    <row r="196" spans="2:9" ht="25" customHeight="1" x14ac:dyDescent="0.2">
      <c r="B196" s="10"/>
      <c r="C196" s="10"/>
      <c r="D196" s="10"/>
      <c r="E196" s="10"/>
      <c r="F196" s="10"/>
      <c r="G196" s="10"/>
      <c r="H196" s="10"/>
      <c r="I196" s="10"/>
    </row>
    <row r="197" spans="2:9" ht="25" customHeight="1" x14ac:dyDescent="0.2">
      <c r="B197" s="10"/>
      <c r="C197" s="10"/>
      <c r="D197" s="10"/>
      <c r="E197" s="10"/>
      <c r="F197" s="10"/>
      <c r="G197" s="10"/>
      <c r="H197" s="10"/>
      <c r="I197" s="10"/>
    </row>
    <row r="198" spans="2:9" ht="25" customHeight="1" x14ac:dyDescent="0.2">
      <c r="B198" s="10"/>
      <c r="C198" s="10"/>
      <c r="D198" s="10"/>
      <c r="E198" s="10"/>
      <c r="F198" s="10"/>
      <c r="G198" s="10"/>
      <c r="H198" s="10"/>
      <c r="I198" s="10"/>
    </row>
    <row r="199" spans="2:9" ht="25" customHeight="1" x14ac:dyDescent="0.2">
      <c r="B199" s="10"/>
      <c r="C199" s="10"/>
      <c r="D199" s="10"/>
      <c r="E199" s="10"/>
      <c r="F199" s="10"/>
      <c r="G199" s="10"/>
      <c r="H199" s="10"/>
      <c r="I199" s="10"/>
    </row>
    <row r="200" spans="2:9" ht="25" customHeight="1" x14ac:dyDescent="0.2">
      <c r="B200" s="10"/>
      <c r="C200" s="10"/>
      <c r="D200" s="10"/>
      <c r="E200" s="10"/>
      <c r="F200" s="10"/>
      <c r="G200" s="10"/>
      <c r="H200" s="10"/>
      <c r="I200" s="10"/>
    </row>
    <row r="201" spans="2:9" ht="25" customHeight="1" x14ac:dyDescent="0.2">
      <c r="B201" s="10"/>
      <c r="C201" s="10"/>
      <c r="D201" s="10"/>
      <c r="E201" s="10"/>
      <c r="F201" s="10"/>
      <c r="G201" s="10"/>
      <c r="H201" s="10"/>
      <c r="I201" s="10"/>
    </row>
    <row r="202" spans="2:9" ht="25" customHeight="1" x14ac:dyDescent="0.2">
      <c r="B202" s="10"/>
      <c r="C202" s="10"/>
      <c r="D202" s="10"/>
      <c r="E202" s="10"/>
      <c r="F202" s="10"/>
      <c r="G202" s="10"/>
      <c r="H202" s="10"/>
      <c r="I202" s="10"/>
    </row>
    <row r="203" spans="2:9" ht="25" customHeight="1" x14ac:dyDescent="0.2">
      <c r="B203" s="10"/>
      <c r="C203" s="10"/>
      <c r="D203" s="10"/>
      <c r="E203" s="10"/>
      <c r="F203" s="10"/>
      <c r="G203" s="10"/>
      <c r="H203" s="10"/>
      <c r="I203" s="10"/>
    </row>
    <row r="204" spans="2:9" ht="25" customHeight="1" x14ac:dyDescent="0.2">
      <c r="B204" s="10"/>
      <c r="C204" s="10"/>
      <c r="D204" s="10"/>
      <c r="E204" s="10"/>
      <c r="F204" s="10"/>
      <c r="G204" s="10"/>
      <c r="H204" s="10"/>
      <c r="I204" s="10"/>
    </row>
    <row r="205" spans="2:9" ht="25" customHeight="1" x14ac:dyDescent="0.2">
      <c r="B205" s="10"/>
      <c r="C205" s="10"/>
      <c r="D205" s="10"/>
      <c r="E205" s="10"/>
      <c r="F205" s="10"/>
      <c r="G205" s="10"/>
      <c r="H205" s="10"/>
      <c r="I205" s="10"/>
    </row>
    <row r="206" spans="2:9" ht="25" customHeight="1" x14ac:dyDescent="0.2">
      <c r="B206" s="10"/>
      <c r="C206" s="10"/>
      <c r="D206" s="10"/>
      <c r="E206" s="10"/>
      <c r="F206" s="10"/>
      <c r="G206" s="10"/>
      <c r="H206" s="10"/>
      <c r="I206" s="10"/>
    </row>
    <row r="207" spans="2:9" ht="25" customHeight="1" x14ac:dyDescent="0.2">
      <c r="B207" s="10"/>
      <c r="C207" s="10"/>
      <c r="D207" s="10"/>
      <c r="E207" s="10"/>
      <c r="F207" s="10"/>
      <c r="G207" s="10"/>
      <c r="H207" s="10"/>
      <c r="I207" s="10"/>
    </row>
    <row r="208" spans="2:9" ht="25" customHeight="1" x14ac:dyDescent="0.2">
      <c r="B208" s="10"/>
      <c r="C208" s="10"/>
      <c r="D208" s="10"/>
      <c r="E208" s="10"/>
      <c r="F208" s="10"/>
      <c r="G208" s="10"/>
      <c r="H208" s="10"/>
      <c r="I208" s="10"/>
    </row>
    <row r="209" spans="2:9" ht="25" customHeight="1" x14ac:dyDescent="0.2">
      <c r="B209" s="10"/>
      <c r="C209" s="10"/>
      <c r="D209" s="10"/>
      <c r="E209" s="10"/>
      <c r="F209" s="10"/>
      <c r="G209" s="10"/>
      <c r="H209" s="10"/>
      <c r="I209" s="10"/>
    </row>
    <row r="210" spans="2:9" ht="25" customHeight="1" x14ac:dyDescent="0.2">
      <c r="B210" s="10"/>
      <c r="C210" s="10"/>
      <c r="D210" s="10"/>
      <c r="E210" s="10"/>
      <c r="F210" s="10"/>
      <c r="G210" s="10"/>
      <c r="H210" s="10"/>
      <c r="I210" s="10"/>
    </row>
    <row r="211" spans="2:9" ht="25" customHeight="1" x14ac:dyDescent="0.2">
      <c r="B211" s="10"/>
      <c r="C211" s="10"/>
      <c r="D211" s="10"/>
      <c r="E211" s="10"/>
      <c r="F211" s="10"/>
      <c r="G211" s="10"/>
      <c r="H211" s="10"/>
      <c r="I211" s="10"/>
    </row>
    <row r="212" spans="2:9" ht="25" customHeight="1" x14ac:dyDescent="0.2">
      <c r="B212" s="10"/>
      <c r="C212" s="10"/>
      <c r="D212" s="10"/>
      <c r="E212" s="10"/>
      <c r="F212" s="10"/>
      <c r="G212" s="10"/>
      <c r="H212" s="10"/>
      <c r="I212" s="10"/>
    </row>
    <row r="213" spans="2:9" ht="25" customHeight="1" x14ac:dyDescent="0.2">
      <c r="B213" s="10"/>
      <c r="C213" s="10"/>
      <c r="D213" s="10"/>
      <c r="E213" s="10"/>
      <c r="F213" s="10"/>
      <c r="G213" s="10"/>
      <c r="H213" s="10"/>
      <c r="I213" s="10"/>
    </row>
    <row r="214" spans="2:9" ht="25" customHeight="1" x14ac:dyDescent="0.2">
      <c r="B214" s="10"/>
      <c r="C214" s="10"/>
      <c r="D214" s="10"/>
      <c r="E214" s="10"/>
      <c r="F214" s="10"/>
      <c r="G214" s="10"/>
      <c r="H214" s="10"/>
      <c r="I214" s="10"/>
    </row>
    <row r="215" spans="2:9" ht="25" customHeight="1" x14ac:dyDescent="0.2">
      <c r="B215" s="10"/>
      <c r="C215" s="10"/>
      <c r="D215" s="10"/>
      <c r="E215" s="10"/>
      <c r="F215" s="10"/>
      <c r="G215" s="10"/>
      <c r="H215" s="10"/>
      <c r="I215" s="10"/>
    </row>
    <row r="216" spans="2:9" ht="25" customHeight="1" x14ac:dyDescent="0.2">
      <c r="B216" s="10"/>
      <c r="C216" s="10"/>
      <c r="D216" s="10"/>
      <c r="E216" s="10"/>
      <c r="F216" s="10"/>
      <c r="G216" s="10"/>
      <c r="H216" s="10"/>
      <c r="I216" s="10"/>
    </row>
    <row r="217" spans="2:9" ht="25" customHeight="1" x14ac:dyDescent="0.2">
      <c r="B217" s="10"/>
      <c r="C217" s="10"/>
      <c r="D217" s="10"/>
      <c r="E217" s="10"/>
      <c r="F217" s="10"/>
      <c r="G217" s="10"/>
      <c r="H217" s="10"/>
      <c r="I217" s="10"/>
    </row>
    <row r="218" spans="2:9" ht="25" customHeight="1" x14ac:dyDescent="0.2">
      <c r="B218" s="10"/>
      <c r="C218" s="10"/>
      <c r="D218" s="10"/>
      <c r="E218" s="10"/>
      <c r="F218" s="10"/>
      <c r="G218" s="10"/>
      <c r="H218" s="10"/>
      <c r="I218" s="10"/>
    </row>
    <row r="219" spans="2:9" ht="25" customHeight="1" x14ac:dyDescent="0.2">
      <c r="B219" s="10"/>
      <c r="C219" s="10"/>
      <c r="D219" s="10"/>
      <c r="E219" s="10"/>
      <c r="F219" s="10"/>
      <c r="G219" s="10"/>
      <c r="H219" s="10"/>
      <c r="I219" s="10"/>
    </row>
    <row r="220" spans="2:9" ht="25" customHeight="1" x14ac:dyDescent="0.2">
      <c r="B220" s="10"/>
      <c r="C220" s="10"/>
      <c r="D220" s="10"/>
      <c r="E220" s="10"/>
      <c r="F220" s="10"/>
      <c r="G220" s="10"/>
      <c r="H220" s="10"/>
      <c r="I220" s="10"/>
    </row>
    <row r="221" spans="2:9" ht="25" customHeight="1" x14ac:dyDescent="0.2">
      <c r="B221" s="10"/>
      <c r="C221" s="10"/>
      <c r="D221" s="10"/>
      <c r="E221" s="10"/>
      <c r="F221" s="10"/>
      <c r="G221" s="10"/>
      <c r="H221" s="10"/>
      <c r="I221" s="10"/>
    </row>
    <row r="222" spans="2:9" ht="25" customHeight="1" x14ac:dyDescent="0.2">
      <c r="B222" s="10"/>
      <c r="C222" s="10"/>
      <c r="D222" s="10"/>
      <c r="E222" s="10"/>
      <c r="F222" s="10"/>
      <c r="G222" s="10"/>
      <c r="H222" s="10"/>
      <c r="I222" s="10"/>
    </row>
    <row r="223" spans="2:9" ht="25" customHeight="1" x14ac:dyDescent="0.2">
      <c r="B223" s="10"/>
      <c r="C223" s="10"/>
      <c r="D223" s="10"/>
      <c r="E223" s="10"/>
      <c r="F223" s="10"/>
      <c r="G223" s="10"/>
      <c r="H223" s="10"/>
      <c r="I223" s="10"/>
    </row>
    <row r="224" spans="2:9" ht="25" customHeight="1" x14ac:dyDescent="0.2">
      <c r="B224" s="10"/>
      <c r="C224" s="10"/>
      <c r="D224" s="10"/>
      <c r="E224" s="10"/>
      <c r="F224" s="10"/>
      <c r="G224" s="10"/>
      <c r="H224" s="10"/>
      <c r="I224" s="10"/>
    </row>
    <row r="225" spans="2:9" ht="25" customHeight="1" x14ac:dyDescent="0.2">
      <c r="B225" s="10"/>
      <c r="C225" s="10"/>
      <c r="D225" s="10"/>
      <c r="E225" s="10"/>
      <c r="F225" s="10"/>
      <c r="G225" s="10"/>
      <c r="H225" s="10"/>
      <c r="I225" s="10"/>
    </row>
    <row r="226" spans="2:9" ht="25" customHeight="1" x14ac:dyDescent="0.2">
      <c r="B226" s="10"/>
      <c r="C226" s="10"/>
      <c r="D226" s="10"/>
      <c r="E226" s="10"/>
      <c r="F226" s="10"/>
      <c r="G226" s="10"/>
      <c r="H226" s="10"/>
      <c r="I226" s="10"/>
    </row>
    <row r="227" spans="2:9" ht="25" customHeight="1" x14ac:dyDescent="0.2">
      <c r="B227" s="10"/>
      <c r="C227" s="10"/>
      <c r="D227" s="10"/>
      <c r="E227" s="10"/>
      <c r="F227" s="10"/>
      <c r="G227" s="10"/>
      <c r="H227" s="10"/>
      <c r="I227" s="10"/>
    </row>
    <row r="228" spans="2:9" ht="25" customHeight="1" x14ac:dyDescent="0.2">
      <c r="B228" s="10"/>
      <c r="C228" s="10"/>
      <c r="D228" s="10"/>
      <c r="E228" s="10"/>
      <c r="F228" s="10"/>
      <c r="G228" s="10"/>
      <c r="H228" s="10"/>
      <c r="I228" s="10"/>
    </row>
    <row r="229" spans="2:9" ht="25" customHeight="1" x14ac:dyDescent="0.2">
      <c r="B229" s="10"/>
      <c r="C229" s="10"/>
      <c r="D229" s="10"/>
      <c r="E229" s="10"/>
      <c r="F229" s="10"/>
      <c r="G229" s="10"/>
      <c r="H229" s="10"/>
      <c r="I229" s="10"/>
    </row>
    <row r="230" spans="2:9" ht="25" customHeight="1" x14ac:dyDescent="0.2">
      <c r="B230" s="10"/>
      <c r="C230" s="10"/>
      <c r="D230" s="10"/>
      <c r="E230" s="10"/>
      <c r="F230" s="10"/>
      <c r="G230" s="10"/>
      <c r="H230" s="10"/>
      <c r="I230" s="10"/>
    </row>
    <row r="231" spans="2:9" ht="25" customHeight="1" x14ac:dyDescent="0.2">
      <c r="B231" s="10"/>
      <c r="C231" s="10"/>
      <c r="D231" s="10"/>
      <c r="E231" s="10"/>
      <c r="F231" s="10"/>
      <c r="G231" s="10"/>
      <c r="H231" s="10"/>
      <c r="I231" s="10"/>
    </row>
    <row r="232" spans="2:9" ht="25" customHeight="1" x14ac:dyDescent="0.2">
      <c r="B232" s="10"/>
      <c r="C232" s="10"/>
      <c r="D232" s="10"/>
      <c r="E232" s="10"/>
      <c r="F232" s="10"/>
      <c r="G232" s="10"/>
      <c r="H232" s="10"/>
      <c r="I232" s="10"/>
    </row>
    <row r="233" spans="2:9" ht="25" customHeight="1" x14ac:dyDescent="0.2">
      <c r="B233" s="10"/>
      <c r="C233" s="10"/>
      <c r="D233" s="10"/>
      <c r="E233" s="10"/>
      <c r="F233" s="10"/>
      <c r="G233" s="10"/>
      <c r="H233" s="10"/>
      <c r="I233" s="10"/>
    </row>
    <row r="234" spans="2:9" ht="25" customHeight="1" x14ac:dyDescent="0.2">
      <c r="B234" s="10"/>
      <c r="C234" s="10"/>
      <c r="D234" s="10"/>
      <c r="E234" s="10"/>
      <c r="F234" s="10"/>
      <c r="G234" s="10"/>
      <c r="H234" s="10"/>
      <c r="I234" s="10"/>
    </row>
    <row r="235" spans="2:9" ht="25" customHeight="1" x14ac:dyDescent="0.2">
      <c r="B235" s="10"/>
      <c r="C235" s="10"/>
      <c r="D235" s="10"/>
      <c r="E235" s="10"/>
      <c r="F235" s="10"/>
      <c r="G235" s="10"/>
      <c r="H235" s="10"/>
      <c r="I235" s="10"/>
    </row>
    <row r="236" spans="2:9" ht="25" customHeight="1" x14ac:dyDescent="0.2">
      <c r="B236" s="10"/>
      <c r="C236" s="10"/>
      <c r="D236" s="10"/>
      <c r="E236" s="10"/>
      <c r="F236" s="10"/>
      <c r="G236" s="10"/>
      <c r="H236" s="10"/>
      <c r="I236" s="10"/>
    </row>
    <row r="237" spans="2:9" ht="25" customHeight="1" x14ac:dyDescent="0.2">
      <c r="B237" s="10"/>
      <c r="C237" s="10"/>
      <c r="D237" s="10"/>
      <c r="E237" s="10"/>
      <c r="F237" s="10"/>
      <c r="G237" s="10"/>
      <c r="H237" s="10"/>
      <c r="I237" s="10"/>
    </row>
    <row r="238" spans="2:9" ht="25" customHeight="1" x14ac:dyDescent="0.2">
      <c r="B238" s="10"/>
      <c r="C238" s="10"/>
      <c r="D238" s="10"/>
      <c r="E238" s="10"/>
      <c r="F238" s="10"/>
      <c r="G238" s="10"/>
      <c r="H238" s="10"/>
      <c r="I238" s="10"/>
    </row>
    <row r="239" spans="2:9" ht="25" customHeight="1" x14ac:dyDescent="0.2">
      <c r="B239" s="10"/>
      <c r="C239" s="10"/>
      <c r="D239" s="10"/>
      <c r="E239" s="10"/>
      <c r="F239" s="10"/>
      <c r="G239" s="10"/>
      <c r="H239" s="10"/>
      <c r="I239" s="10"/>
    </row>
    <row r="240" spans="2:9" ht="25" customHeight="1" x14ac:dyDescent="0.2">
      <c r="B240" s="10"/>
      <c r="C240" s="10"/>
      <c r="D240" s="10"/>
      <c r="E240" s="10"/>
      <c r="F240" s="10"/>
      <c r="G240" s="10"/>
      <c r="H240" s="10"/>
      <c r="I240" s="10"/>
    </row>
    <row r="241" spans="2:9" ht="25" customHeight="1" x14ac:dyDescent="0.2">
      <c r="B241" s="10"/>
      <c r="C241" s="10"/>
      <c r="D241" s="10"/>
      <c r="E241" s="10"/>
      <c r="F241" s="10"/>
      <c r="G241" s="10"/>
      <c r="H241" s="10"/>
      <c r="I241" s="10"/>
    </row>
    <row r="242" spans="2:9" ht="25" customHeight="1" x14ac:dyDescent="0.2">
      <c r="B242" s="10"/>
      <c r="C242" s="10"/>
      <c r="D242" s="10"/>
      <c r="E242" s="10"/>
      <c r="F242" s="10"/>
      <c r="G242" s="10"/>
      <c r="H242" s="10"/>
      <c r="I242" s="10"/>
    </row>
    <row r="243" spans="2:9" ht="25" customHeight="1" x14ac:dyDescent="0.2">
      <c r="B243" s="10"/>
      <c r="C243" s="10"/>
      <c r="D243" s="10"/>
      <c r="E243" s="10"/>
      <c r="F243" s="10"/>
      <c r="G243" s="10"/>
      <c r="H243" s="10"/>
      <c r="I243" s="10"/>
    </row>
    <row r="244" spans="2:9" ht="25" customHeight="1" x14ac:dyDescent="0.2">
      <c r="B244" s="10"/>
      <c r="C244" s="10"/>
      <c r="D244" s="10"/>
      <c r="E244" s="10"/>
      <c r="F244" s="10"/>
      <c r="G244" s="10"/>
      <c r="H244" s="10"/>
      <c r="I244" s="10"/>
    </row>
    <row r="245" spans="2:9" ht="25" customHeight="1" x14ac:dyDescent="0.2">
      <c r="B245" s="10"/>
      <c r="C245" s="10"/>
      <c r="D245" s="10"/>
      <c r="E245" s="10"/>
      <c r="F245" s="10"/>
      <c r="G245" s="10"/>
      <c r="H245" s="10"/>
      <c r="I245" s="10"/>
    </row>
    <row r="246" spans="2:9" ht="25" customHeight="1" x14ac:dyDescent="0.2">
      <c r="B246" s="10"/>
      <c r="C246" s="10"/>
      <c r="D246" s="10"/>
      <c r="E246" s="10"/>
      <c r="F246" s="10"/>
      <c r="G246" s="10"/>
      <c r="H246" s="10"/>
      <c r="I246" s="10"/>
    </row>
    <row r="247" spans="2:9" ht="25" customHeight="1" x14ac:dyDescent="0.2">
      <c r="B247" s="10"/>
      <c r="C247" s="10"/>
      <c r="D247" s="10"/>
      <c r="E247" s="10"/>
      <c r="F247" s="10"/>
      <c r="G247" s="10"/>
      <c r="H247" s="10"/>
      <c r="I247" s="10"/>
    </row>
    <row r="248" spans="2:9" ht="25" customHeight="1" x14ac:dyDescent="0.2">
      <c r="B248" s="10"/>
      <c r="C248" s="10"/>
      <c r="D248" s="10"/>
      <c r="E248" s="10"/>
      <c r="F248" s="10"/>
      <c r="G248" s="10"/>
      <c r="H248" s="10"/>
      <c r="I248" s="10"/>
    </row>
    <row r="249" spans="2:9" ht="25" customHeight="1" x14ac:dyDescent="0.2">
      <c r="B249" s="10"/>
      <c r="C249" s="10"/>
      <c r="D249" s="10"/>
      <c r="E249" s="10"/>
      <c r="F249" s="10"/>
      <c r="G249" s="10"/>
      <c r="H249" s="10"/>
      <c r="I249" s="10"/>
    </row>
    <row r="250" spans="2:9" ht="25" customHeight="1" x14ac:dyDescent="0.2">
      <c r="B250" s="10"/>
      <c r="C250" s="10"/>
      <c r="D250" s="10"/>
      <c r="E250" s="10"/>
      <c r="F250" s="10"/>
      <c r="G250" s="10"/>
      <c r="H250" s="10"/>
      <c r="I250" s="10"/>
    </row>
    <row r="251" spans="2:9" ht="25" customHeight="1" x14ac:dyDescent="0.2">
      <c r="B251" s="10"/>
      <c r="C251" s="10"/>
      <c r="D251" s="10"/>
      <c r="E251" s="10"/>
      <c r="F251" s="10"/>
      <c r="G251" s="10"/>
      <c r="H251" s="10"/>
      <c r="I251" s="10"/>
    </row>
    <row r="252" spans="2:9" ht="25" customHeight="1" x14ac:dyDescent="0.2">
      <c r="B252" s="10"/>
      <c r="C252" s="10"/>
      <c r="D252" s="10"/>
      <c r="E252" s="10"/>
      <c r="F252" s="10"/>
      <c r="G252" s="10"/>
      <c r="H252" s="10"/>
      <c r="I252" s="10"/>
    </row>
    <row r="253" spans="2:9" ht="25" customHeight="1" x14ac:dyDescent="0.2">
      <c r="B253" s="10"/>
      <c r="C253" s="10"/>
      <c r="D253" s="10"/>
      <c r="E253" s="10"/>
      <c r="F253" s="10"/>
      <c r="G253" s="10"/>
      <c r="H253" s="10"/>
      <c r="I253" s="10"/>
    </row>
    <row r="254" spans="2:9" ht="25" customHeight="1" x14ac:dyDescent="0.2">
      <c r="B254" s="10"/>
      <c r="C254" s="10"/>
      <c r="D254" s="10"/>
      <c r="E254" s="10"/>
      <c r="F254" s="10"/>
      <c r="G254" s="10"/>
      <c r="H254" s="10"/>
      <c r="I254" s="10"/>
    </row>
    <row r="255" spans="2:9" ht="25" customHeight="1" x14ac:dyDescent="0.2">
      <c r="B255" s="10"/>
      <c r="C255" s="10"/>
      <c r="D255" s="10"/>
      <c r="E255" s="10"/>
      <c r="F255" s="10"/>
      <c r="G255" s="10"/>
      <c r="H255" s="10"/>
      <c r="I255" s="10"/>
    </row>
    <row r="256" spans="2:9" ht="25" customHeight="1" x14ac:dyDescent="0.2">
      <c r="B256" s="10"/>
      <c r="C256" s="10"/>
      <c r="D256" s="10"/>
      <c r="E256" s="10"/>
      <c r="F256" s="10"/>
      <c r="G256" s="10"/>
      <c r="H256" s="10"/>
      <c r="I256" s="10"/>
    </row>
    <row r="257" spans="2:9" ht="25" customHeight="1" x14ac:dyDescent="0.2">
      <c r="B257" s="10"/>
      <c r="C257" s="10"/>
      <c r="D257" s="10"/>
      <c r="E257" s="10"/>
      <c r="F257" s="10"/>
      <c r="G257" s="10"/>
      <c r="H257" s="10"/>
      <c r="I257" s="10"/>
    </row>
    <row r="258" spans="2:9" ht="25" customHeight="1" x14ac:dyDescent="0.2">
      <c r="B258" s="10"/>
      <c r="C258" s="10"/>
      <c r="D258" s="10"/>
      <c r="E258" s="10"/>
      <c r="F258" s="10"/>
      <c r="G258" s="10"/>
      <c r="H258" s="10"/>
      <c r="I258" s="10"/>
    </row>
    <row r="259" spans="2:9" ht="25" customHeight="1" x14ac:dyDescent="0.2">
      <c r="B259" s="10"/>
      <c r="C259" s="10"/>
      <c r="D259" s="10"/>
      <c r="E259" s="10"/>
      <c r="F259" s="10"/>
      <c r="G259" s="10"/>
      <c r="H259" s="10"/>
      <c r="I259" s="10"/>
    </row>
    <row r="260" spans="2:9" ht="25" customHeight="1" x14ac:dyDescent="0.2">
      <c r="B260" s="10"/>
      <c r="C260" s="10"/>
      <c r="D260" s="10"/>
      <c r="E260" s="10"/>
      <c r="F260" s="10"/>
      <c r="G260" s="10"/>
      <c r="H260" s="10"/>
      <c r="I260" s="10"/>
    </row>
    <row r="261" spans="2:9" ht="25" customHeight="1" x14ac:dyDescent="0.2">
      <c r="B261" s="10"/>
      <c r="C261" s="10"/>
      <c r="D261" s="10"/>
      <c r="E261" s="10"/>
      <c r="F261" s="10"/>
      <c r="G261" s="10"/>
      <c r="H261" s="10"/>
      <c r="I261" s="10"/>
    </row>
    <row r="262" spans="2:9" ht="25" customHeight="1" x14ac:dyDescent="0.2">
      <c r="B262" s="10"/>
      <c r="C262" s="10"/>
      <c r="D262" s="10"/>
      <c r="E262" s="10"/>
      <c r="F262" s="10"/>
      <c r="G262" s="10"/>
      <c r="H262" s="10"/>
      <c r="I262" s="10"/>
    </row>
    <row r="263" spans="2:9" ht="25" customHeight="1" x14ac:dyDescent="0.2">
      <c r="B263" s="10"/>
      <c r="C263" s="10"/>
      <c r="D263" s="10"/>
      <c r="E263" s="10"/>
      <c r="F263" s="10"/>
      <c r="G263" s="10"/>
      <c r="H263" s="10"/>
      <c r="I263" s="10"/>
    </row>
    <row r="264" spans="2:9" ht="25" customHeight="1" x14ac:dyDescent="0.2">
      <c r="B264" s="10"/>
      <c r="C264" s="10"/>
      <c r="D264" s="10"/>
      <c r="E264" s="10"/>
      <c r="F264" s="10"/>
      <c r="G264" s="10"/>
      <c r="H264" s="10"/>
      <c r="I264" s="10"/>
    </row>
    <row r="265" spans="2:9" ht="25" customHeight="1" x14ac:dyDescent="0.2">
      <c r="B265" s="10"/>
      <c r="C265" s="10"/>
      <c r="D265" s="10"/>
      <c r="E265" s="10"/>
      <c r="F265" s="10"/>
      <c r="G265" s="10"/>
      <c r="H265" s="10"/>
      <c r="I265" s="10"/>
    </row>
    <row r="266" spans="2:9" ht="25" customHeight="1" x14ac:dyDescent="0.2">
      <c r="B266" s="10"/>
      <c r="C266" s="10"/>
      <c r="D266" s="10"/>
      <c r="E266" s="10"/>
      <c r="F266" s="10"/>
      <c r="G266" s="10"/>
      <c r="H266" s="10"/>
      <c r="I266" s="10"/>
    </row>
    <row r="267" spans="2:9" ht="25" customHeight="1" x14ac:dyDescent="0.2">
      <c r="B267" s="10"/>
      <c r="C267" s="10"/>
      <c r="D267" s="10"/>
      <c r="E267" s="10"/>
      <c r="F267" s="10"/>
      <c r="G267" s="10"/>
      <c r="H267" s="10"/>
      <c r="I267" s="10"/>
    </row>
    <row r="268" spans="2:9" ht="25" customHeight="1" x14ac:dyDescent="0.2">
      <c r="B268" s="10"/>
      <c r="C268" s="10"/>
      <c r="D268" s="10"/>
      <c r="E268" s="10"/>
      <c r="F268" s="10"/>
      <c r="G268" s="10"/>
      <c r="H268" s="10"/>
      <c r="I268" s="10"/>
    </row>
    <row r="269" spans="2:9" ht="25" customHeight="1" x14ac:dyDescent="0.2">
      <c r="B269" s="10"/>
      <c r="C269" s="10"/>
      <c r="D269" s="10"/>
      <c r="E269" s="10"/>
      <c r="F269" s="10"/>
      <c r="G269" s="10"/>
      <c r="H269" s="10"/>
      <c r="I269" s="10"/>
    </row>
    <row r="270" spans="2:9" ht="25" customHeight="1" x14ac:dyDescent="0.2">
      <c r="B270" s="10"/>
      <c r="C270" s="10"/>
      <c r="D270" s="10"/>
      <c r="E270" s="10"/>
      <c r="F270" s="10"/>
      <c r="G270" s="10"/>
      <c r="H270" s="10"/>
      <c r="I270" s="10"/>
    </row>
    <row r="271" spans="2:9" ht="25" customHeight="1" x14ac:dyDescent="0.2">
      <c r="B271" s="10"/>
      <c r="C271" s="10"/>
      <c r="D271" s="10"/>
      <c r="E271" s="10"/>
      <c r="F271" s="10"/>
      <c r="G271" s="10"/>
      <c r="H271" s="10"/>
      <c r="I271" s="10"/>
    </row>
    <row r="272" spans="2:9" ht="25" customHeight="1" x14ac:dyDescent="0.2">
      <c r="B272" s="10"/>
      <c r="C272" s="10"/>
      <c r="D272" s="10"/>
      <c r="E272" s="10"/>
      <c r="F272" s="10"/>
      <c r="G272" s="10"/>
      <c r="H272" s="10"/>
      <c r="I272" s="10"/>
    </row>
    <row r="273" spans="2:9" ht="25" customHeight="1" x14ac:dyDescent="0.2">
      <c r="B273" s="10"/>
      <c r="C273" s="10"/>
      <c r="D273" s="10"/>
      <c r="E273" s="10"/>
      <c r="F273" s="10"/>
      <c r="G273" s="10"/>
      <c r="H273" s="10"/>
      <c r="I273" s="10"/>
    </row>
    <row r="274" spans="2:9" ht="25" customHeight="1" x14ac:dyDescent="0.2">
      <c r="B274" s="10"/>
      <c r="C274" s="10"/>
      <c r="D274" s="10"/>
      <c r="E274" s="10"/>
      <c r="F274" s="10"/>
      <c r="G274" s="10"/>
      <c r="H274" s="10"/>
      <c r="I274" s="10"/>
    </row>
    <row r="275" spans="2:9" ht="25" customHeight="1" x14ac:dyDescent="0.2">
      <c r="B275" s="10"/>
      <c r="C275" s="10"/>
      <c r="D275" s="10"/>
      <c r="E275" s="10"/>
      <c r="F275" s="10"/>
      <c r="G275" s="10"/>
      <c r="H275" s="10"/>
      <c r="I275" s="10"/>
    </row>
    <row r="276" spans="2:9" ht="25" customHeight="1" x14ac:dyDescent="0.2">
      <c r="B276" s="10"/>
      <c r="C276" s="10"/>
      <c r="D276" s="10"/>
      <c r="E276" s="10"/>
      <c r="F276" s="10"/>
      <c r="G276" s="10"/>
      <c r="H276" s="10"/>
      <c r="I276" s="10"/>
    </row>
    <row r="277" spans="2:9" ht="25" customHeight="1" x14ac:dyDescent="0.2">
      <c r="B277" s="10"/>
      <c r="C277" s="10"/>
      <c r="D277" s="10"/>
      <c r="E277" s="10"/>
      <c r="F277" s="10"/>
      <c r="G277" s="10"/>
      <c r="H277" s="10"/>
      <c r="I277" s="10"/>
    </row>
    <row r="278" spans="2:9" ht="25" customHeight="1" x14ac:dyDescent="0.2">
      <c r="B278" s="10"/>
      <c r="C278" s="10"/>
      <c r="D278" s="10"/>
      <c r="E278" s="10"/>
      <c r="F278" s="10"/>
      <c r="G278" s="10"/>
      <c r="H278" s="10"/>
      <c r="I278" s="10"/>
    </row>
    <row r="279" spans="2:9" ht="25" customHeight="1" x14ac:dyDescent="0.2">
      <c r="B279" s="10"/>
      <c r="C279" s="10"/>
      <c r="D279" s="10"/>
      <c r="E279" s="10"/>
      <c r="F279" s="10"/>
      <c r="G279" s="10"/>
      <c r="H279" s="10"/>
      <c r="I279" s="10"/>
    </row>
    <row r="280" spans="2:9" ht="25" customHeight="1" x14ac:dyDescent="0.2">
      <c r="B280" s="10"/>
      <c r="C280" s="10"/>
      <c r="D280" s="10"/>
      <c r="E280" s="10"/>
      <c r="F280" s="10"/>
      <c r="G280" s="10"/>
      <c r="H280" s="10"/>
      <c r="I280" s="10"/>
    </row>
    <row r="281" spans="2:9" ht="25" customHeight="1" x14ac:dyDescent="0.2">
      <c r="B281" s="10"/>
      <c r="C281" s="10"/>
      <c r="D281" s="10"/>
      <c r="E281" s="10"/>
      <c r="F281" s="10"/>
      <c r="G281" s="10"/>
      <c r="H281" s="10"/>
      <c r="I281" s="10"/>
    </row>
    <row r="282" spans="2:9" ht="25" customHeight="1" x14ac:dyDescent="0.2">
      <c r="B282" s="10"/>
      <c r="C282" s="10"/>
      <c r="D282" s="10"/>
      <c r="E282" s="10"/>
      <c r="F282" s="10"/>
      <c r="G282" s="10"/>
      <c r="H282" s="10"/>
      <c r="I282" s="10"/>
    </row>
    <row r="283" spans="2:9" ht="25" customHeight="1" x14ac:dyDescent="0.2">
      <c r="B283" s="10"/>
      <c r="C283" s="10"/>
      <c r="D283" s="10"/>
      <c r="E283" s="10"/>
      <c r="F283" s="10"/>
      <c r="G283" s="10"/>
      <c r="H283" s="10"/>
      <c r="I283" s="10"/>
    </row>
    <row r="284" spans="2:9" ht="25" customHeight="1" x14ac:dyDescent="0.2">
      <c r="B284" s="10"/>
      <c r="C284" s="10"/>
      <c r="D284" s="10"/>
      <c r="E284" s="10"/>
      <c r="F284" s="10"/>
      <c r="G284" s="10"/>
      <c r="H284" s="10"/>
      <c r="I284" s="10"/>
    </row>
    <row r="285" spans="2:9" ht="25" customHeight="1" x14ac:dyDescent="0.2">
      <c r="B285" s="10"/>
      <c r="C285" s="10"/>
      <c r="D285" s="10"/>
      <c r="E285" s="10"/>
      <c r="F285" s="10"/>
      <c r="G285" s="10"/>
      <c r="H285" s="10"/>
      <c r="I285" s="10"/>
    </row>
    <row r="286" spans="2:9" ht="25" customHeight="1" x14ac:dyDescent="0.2">
      <c r="B286" s="10"/>
      <c r="C286" s="10"/>
      <c r="D286" s="10"/>
      <c r="E286" s="10"/>
      <c r="F286" s="10"/>
      <c r="G286" s="10"/>
      <c r="H286" s="10"/>
      <c r="I286" s="10"/>
    </row>
    <row r="287" spans="2:9" ht="25" customHeight="1" x14ac:dyDescent="0.2">
      <c r="B287" s="10"/>
      <c r="C287" s="10"/>
      <c r="D287" s="10"/>
      <c r="E287" s="10"/>
      <c r="F287" s="10"/>
      <c r="G287" s="10"/>
      <c r="H287" s="10"/>
      <c r="I287" s="10"/>
    </row>
    <row r="288" spans="2:9" ht="25" customHeight="1" x14ac:dyDescent="0.2">
      <c r="B288" s="10"/>
      <c r="C288" s="10"/>
      <c r="D288" s="10"/>
      <c r="E288" s="10"/>
      <c r="F288" s="10"/>
      <c r="G288" s="10"/>
      <c r="H288" s="10"/>
      <c r="I288" s="10"/>
    </row>
    <row r="289" spans="2:9" ht="25" customHeight="1" x14ac:dyDescent="0.2">
      <c r="B289" s="10"/>
      <c r="C289" s="10"/>
      <c r="D289" s="10"/>
      <c r="E289" s="10"/>
      <c r="F289" s="10"/>
      <c r="G289" s="10"/>
      <c r="H289" s="10"/>
      <c r="I289" s="10"/>
    </row>
    <row r="290" spans="2:9" ht="25" customHeight="1" x14ac:dyDescent="0.2">
      <c r="B290" s="10"/>
      <c r="C290" s="10"/>
      <c r="D290" s="10"/>
      <c r="E290" s="10"/>
      <c r="F290" s="10"/>
      <c r="G290" s="10"/>
      <c r="H290" s="10"/>
      <c r="I290" s="10"/>
    </row>
    <row r="291" spans="2:9" ht="25" customHeight="1" x14ac:dyDescent="0.2">
      <c r="B291" s="10"/>
      <c r="C291" s="10"/>
      <c r="D291" s="10"/>
      <c r="E291" s="10"/>
      <c r="F291" s="10"/>
      <c r="G291" s="10"/>
      <c r="H291" s="10"/>
      <c r="I291" s="10"/>
    </row>
    <row r="292" spans="2:9" ht="25" customHeight="1" x14ac:dyDescent="0.2">
      <c r="B292" s="10"/>
      <c r="C292" s="10"/>
      <c r="D292" s="10"/>
      <c r="E292" s="10"/>
      <c r="F292" s="10"/>
      <c r="G292" s="10"/>
      <c r="H292" s="10"/>
      <c r="I292" s="10"/>
    </row>
    <row r="293" spans="2:9" ht="25" customHeight="1" x14ac:dyDescent="0.2">
      <c r="B293" s="10"/>
      <c r="C293" s="10"/>
      <c r="D293" s="10"/>
      <c r="E293" s="10"/>
      <c r="F293" s="10"/>
      <c r="G293" s="10"/>
      <c r="H293" s="10"/>
      <c r="I293" s="10"/>
    </row>
    <row r="294" spans="2:9" ht="25" customHeight="1" x14ac:dyDescent="0.2">
      <c r="B294" s="10"/>
      <c r="C294" s="10"/>
      <c r="D294" s="10"/>
      <c r="E294" s="10"/>
      <c r="F294" s="10"/>
      <c r="G294" s="10"/>
      <c r="H294" s="10"/>
      <c r="I294" s="10"/>
    </row>
    <row r="295" spans="2:9" ht="25" customHeight="1" x14ac:dyDescent="0.2">
      <c r="B295" s="10"/>
      <c r="C295" s="10"/>
      <c r="D295" s="10"/>
      <c r="E295" s="10"/>
      <c r="F295" s="10"/>
      <c r="G295" s="10"/>
      <c r="H295" s="10"/>
      <c r="I295" s="10"/>
    </row>
    <row r="296" spans="2:9" ht="25" customHeight="1" x14ac:dyDescent="0.2">
      <c r="B296" s="10"/>
      <c r="C296" s="10"/>
      <c r="D296" s="10"/>
      <c r="E296" s="10"/>
      <c r="F296" s="10"/>
      <c r="G296" s="10"/>
      <c r="H296" s="10"/>
      <c r="I296" s="10"/>
    </row>
    <row r="297" spans="2:9" ht="25" customHeight="1" x14ac:dyDescent="0.2">
      <c r="B297" s="10"/>
      <c r="C297" s="10"/>
      <c r="D297" s="10"/>
      <c r="E297" s="10"/>
      <c r="F297" s="10"/>
      <c r="G297" s="10"/>
      <c r="H297" s="10"/>
      <c r="I297" s="10"/>
    </row>
    <row r="298" spans="2:9" ht="25" customHeight="1" x14ac:dyDescent="0.2">
      <c r="B298" s="10"/>
      <c r="C298" s="10"/>
      <c r="D298" s="10"/>
      <c r="E298" s="10"/>
      <c r="F298" s="10"/>
      <c r="G298" s="10"/>
      <c r="H298" s="10"/>
      <c r="I298" s="10"/>
    </row>
    <row r="299" spans="2:9" ht="25" customHeight="1" x14ac:dyDescent="0.2">
      <c r="B299" s="10"/>
      <c r="C299" s="10"/>
      <c r="D299" s="10"/>
      <c r="E299" s="10"/>
      <c r="F299" s="10"/>
      <c r="G299" s="10"/>
      <c r="H299" s="10"/>
      <c r="I299" s="10"/>
    </row>
    <row r="300" spans="2:9" ht="25" customHeight="1" x14ac:dyDescent="0.2">
      <c r="B300" s="10"/>
      <c r="C300" s="10"/>
      <c r="D300" s="10"/>
      <c r="E300" s="10"/>
      <c r="F300" s="10"/>
      <c r="G300" s="10"/>
      <c r="H300" s="10"/>
      <c r="I300" s="10"/>
    </row>
    <row r="301" spans="2:9" ht="25" customHeight="1" x14ac:dyDescent="0.2">
      <c r="B301" s="10"/>
      <c r="C301" s="10"/>
      <c r="D301" s="10"/>
      <c r="E301" s="10"/>
      <c r="F301" s="10"/>
      <c r="G301" s="10"/>
      <c r="H301" s="10"/>
      <c r="I301" s="10"/>
    </row>
    <row r="302" spans="2:9" ht="25" customHeight="1" x14ac:dyDescent="0.2">
      <c r="B302" s="10"/>
      <c r="C302" s="10"/>
      <c r="D302" s="10"/>
      <c r="E302" s="10"/>
      <c r="F302" s="10"/>
      <c r="G302" s="10"/>
      <c r="H302" s="10"/>
      <c r="I302" s="10"/>
    </row>
    <row r="303" spans="2:9" ht="25" customHeight="1" x14ac:dyDescent="0.2">
      <c r="B303" s="10"/>
      <c r="C303" s="10"/>
      <c r="D303" s="10"/>
      <c r="E303" s="10"/>
      <c r="F303" s="10"/>
      <c r="G303" s="10"/>
      <c r="H303" s="10"/>
      <c r="I303" s="10"/>
    </row>
    <row r="304" spans="2:9" ht="25" customHeight="1" x14ac:dyDescent="0.2">
      <c r="B304" s="10"/>
      <c r="C304" s="10"/>
      <c r="D304" s="10"/>
      <c r="E304" s="10"/>
      <c r="F304" s="10"/>
      <c r="G304" s="10"/>
      <c r="H304" s="10"/>
      <c r="I304" s="10"/>
    </row>
    <row r="305" spans="2:9" ht="25" customHeight="1" x14ac:dyDescent="0.2">
      <c r="B305" s="10"/>
      <c r="C305" s="10"/>
      <c r="D305" s="10"/>
      <c r="E305" s="10"/>
      <c r="F305" s="10"/>
      <c r="G305" s="10"/>
      <c r="H305" s="10"/>
      <c r="I305" s="10"/>
    </row>
    <row r="306" spans="2:9" ht="25" customHeight="1" x14ac:dyDescent="0.2">
      <c r="B306" s="10"/>
      <c r="C306" s="10"/>
      <c r="D306" s="10"/>
      <c r="E306" s="10"/>
      <c r="F306" s="10"/>
      <c r="G306" s="10"/>
      <c r="H306" s="10"/>
      <c r="I306" s="10"/>
    </row>
    <row r="307" spans="2:9" ht="25" customHeight="1" x14ac:dyDescent="0.2">
      <c r="B307" s="10"/>
      <c r="C307" s="10"/>
      <c r="D307" s="10"/>
      <c r="E307" s="10"/>
      <c r="F307" s="10"/>
      <c r="G307" s="10"/>
      <c r="H307" s="10"/>
      <c r="I307" s="10"/>
    </row>
    <row r="308" spans="2:9" ht="25" customHeight="1" x14ac:dyDescent="0.2">
      <c r="B308" s="10"/>
      <c r="C308" s="10"/>
      <c r="D308" s="10"/>
      <c r="E308" s="10"/>
      <c r="F308" s="10"/>
      <c r="G308" s="10"/>
      <c r="H308" s="10"/>
      <c r="I308" s="10"/>
    </row>
    <row r="309" spans="2:9" ht="25" customHeight="1" x14ac:dyDescent="0.2">
      <c r="B309" s="10"/>
      <c r="C309" s="10"/>
      <c r="D309" s="10"/>
      <c r="E309" s="10"/>
      <c r="F309" s="10"/>
      <c r="G309" s="10"/>
      <c r="H309" s="10"/>
      <c r="I309" s="10"/>
    </row>
    <row r="310" spans="2:9" ht="25" customHeight="1" x14ac:dyDescent="0.2">
      <c r="B310" s="10"/>
      <c r="C310" s="10"/>
      <c r="D310" s="10"/>
      <c r="E310" s="10"/>
      <c r="F310" s="10"/>
      <c r="G310" s="10"/>
      <c r="H310" s="10"/>
      <c r="I310" s="10"/>
    </row>
    <row r="311" spans="2:9" ht="25" customHeight="1" x14ac:dyDescent="0.2">
      <c r="B311" s="10"/>
      <c r="C311" s="10"/>
      <c r="D311" s="10"/>
      <c r="E311" s="10"/>
      <c r="F311" s="10"/>
      <c r="G311" s="10"/>
      <c r="H311" s="10"/>
      <c r="I311" s="10"/>
    </row>
    <row r="312" spans="2:9" ht="25" customHeight="1" x14ac:dyDescent="0.2">
      <c r="B312" s="10"/>
      <c r="C312" s="10"/>
      <c r="D312" s="10"/>
      <c r="E312" s="10"/>
      <c r="F312" s="10"/>
      <c r="G312" s="10"/>
      <c r="H312" s="10"/>
      <c r="I312" s="10"/>
    </row>
    <row r="313" spans="2:9" ht="25" customHeight="1" x14ac:dyDescent="0.2">
      <c r="B313" s="10"/>
      <c r="C313" s="10"/>
      <c r="D313" s="10"/>
      <c r="E313" s="10"/>
      <c r="F313" s="10"/>
      <c r="G313" s="10"/>
      <c r="H313" s="10"/>
      <c r="I313" s="10"/>
    </row>
    <row r="314" spans="2:9" ht="25" customHeight="1" x14ac:dyDescent="0.2">
      <c r="B314" s="10"/>
      <c r="C314" s="10"/>
      <c r="D314" s="10"/>
      <c r="E314" s="10"/>
      <c r="F314" s="10"/>
      <c r="G314" s="10"/>
      <c r="H314" s="10"/>
      <c r="I314" s="10"/>
    </row>
    <row r="315" spans="2:9" ht="25" customHeight="1" x14ac:dyDescent="0.2">
      <c r="B315" s="10"/>
      <c r="C315" s="10"/>
      <c r="D315" s="10"/>
      <c r="E315" s="10"/>
      <c r="F315" s="10"/>
      <c r="G315" s="10"/>
      <c r="H315" s="10"/>
      <c r="I315" s="10"/>
    </row>
    <row r="316" spans="2:9" ht="25" customHeight="1" x14ac:dyDescent="0.2">
      <c r="B316" s="10"/>
      <c r="C316" s="10"/>
      <c r="D316" s="10"/>
      <c r="E316" s="10"/>
      <c r="F316" s="10"/>
      <c r="G316" s="10"/>
      <c r="H316" s="10"/>
      <c r="I316" s="10"/>
    </row>
    <row r="317" spans="2:9" ht="25" customHeight="1" x14ac:dyDescent="0.2">
      <c r="B317" s="10"/>
      <c r="C317" s="10"/>
      <c r="D317" s="10"/>
      <c r="E317" s="10"/>
      <c r="F317" s="10"/>
      <c r="G317" s="10"/>
      <c r="H317" s="10"/>
      <c r="I317" s="10"/>
    </row>
    <row r="318" spans="2:9" ht="25" customHeight="1" x14ac:dyDescent="0.2">
      <c r="B318" s="10"/>
      <c r="C318" s="10"/>
      <c r="D318" s="10"/>
      <c r="E318" s="10"/>
      <c r="F318" s="10"/>
      <c r="G318" s="10"/>
      <c r="H318" s="10"/>
      <c r="I318" s="10"/>
    </row>
    <row r="319" spans="2:9" ht="25" customHeight="1" x14ac:dyDescent="0.2">
      <c r="B319" s="10"/>
      <c r="C319" s="10"/>
      <c r="D319" s="10"/>
      <c r="E319" s="10"/>
      <c r="F319" s="10"/>
      <c r="G319" s="10"/>
      <c r="H319" s="10"/>
      <c r="I319" s="10"/>
    </row>
    <row r="320" spans="2:9" ht="25" customHeight="1" x14ac:dyDescent="0.2">
      <c r="B320" s="10"/>
      <c r="C320" s="10"/>
      <c r="D320" s="10"/>
      <c r="E320" s="10"/>
      <c r="F320" s="10"/>
      <c r="G320" s="10"/>
      <c r="H320" s="10"/>
      <c r="I320" s="10"/>
    </row>
    <row r="321" spans="2:9" ht="25" customHeight="1" x14ac:dyDescent="0.2">
      <c r="B321" s="10"/>
      <c r="C321" s="10"/>
      <c r="D321" s="10"/>
      <c r="E321" s="10"/>
      <c r="F321" s="10"/>
      <c r="G321" s="10"/>
      <c r="H321" s="10"/>
      <c r="I321" s="10"/>
    </row>
    <row r="322" spans="2:9" ht="25" customHeight="1" x14ac:dyDescent="0.2">
      <c r="B322" s="10"/>
      <c r="C322" s="10"/>
      <c r="D322" s="10"/>
      <c r="E322" s="10"/>
      <c r="F322" s="10"/>
      <c r="G322" s="10"/>
      <c r="H322" s="10"/>
      <c r="I322" s="10"/>
    </row>
    <row r="323" spans="2:9" ht="25" customHeight="1" x14ac:dyDescent="0.2">
      <c r="B323" s="10"/>
      <c r="C323" s="10"/>
      <c r="D323" s="10"/>
      <c r="E323" s="10"/>
      <c r="F323" s="10"/>
      <c r="G323" s="10"/>
      <c r="H323" s="10"/>
      <c r="I323" s="10"/>
    </row>
    <row r="324" spans="2:9" ht="25" customHeight="1" x14ac:dyDescent="0.2">
      <c r="B324" s="10"/>
      <c r="C324" s="10"/>
      <c r="D324" s="10"/>
      <c r="E324" s="10"/>
      <c r="F324" s="10"/>
      <c r="G324" s="10"/>
      <c r="H324" s="10"/>
      <c r="I324" s="10"/>
    </row>
    <row r="325" spans="2:9" ht="25" customHeight="1" x14ac:dyDescent="0.2">
      <c r="B325" s="10"/>
      <c r="C325" s="10"/>
      <c r="D325" s="10"/>
      <c r="E325" s="10"/>
      <c r="F325" s="10"/>
      <c r="G325" s="10"/>
      <c r="H325" s="10"/>
      <c r="I325" s="10"/>
    </row>
    <row r="326" spans="2:9" ht="25" customHeight="1" x14ac:dyDescent="0.2">
      <c r="B326" s="10"/>
      <c r="C326" s="10"/>
      <c r="D326" s="10"/>
      <c r="E326" s="10"/>
      <c r="F326" s="10"/>
      <c r="G326" s="10"/>
      <c r="H326" s="10"/>
      <c r="I326" s="10"/>
    </row>
    <row r="327" spans="2:9" ht="25" customHeight="1" x14ac:dyDescent="0.2">
      <c r="B327" s="10"/>
      <c r="C327" s="10"/>
      <c r="D327" s="10"/>
      <c r="E327" s="10"/>
      <c r="F327" s="10"/>
      <c r="G327" s="10"/>
      <c r="H327" s="10"/>
      <c r="I327" s="10"/>
    </row>
    <row r="328" spans="2:9" ht="25" customHeight="1" x14ac:dyDescent="0.2">
      <c r="B328" s="10"/>
      <c r="C328" s="10"/>
      <c r="D328" s="10"/>
      <c r="E328" s="10"/>
      <c r="F328" s="10"/>
      <c r="G328" s="10"/>
      <c r="H328" s="10"/>
      <c r="I328" s="10"/>
    </row>
    <row r="329" spans="2:9" ht="25" customHeight="1" x14ac:dyDescent="0.2">
      <c r="B329" s="10"/>
      <c r="C329" s="10"/>
      <c r="D329" s="10"/>
      <c r="E329" s="10"/>
      <c r="F329" s="10"/>
      <c r="G329" s="10"/>
      <c r="H329" s="10"/>
      <c r="I329" s="10"/>
    </row>
    <row r="330" spans="2:9" ht="25" customHeight="1" x14ac:dyDescent="0.2">
      <c r="B330" s="10"/>
      <c r="C330" s="10"/>
      <c r="D330" s="10"/>
      <c r="E330" s="10"/>
      <c r="F330" s="10"/>
      <c r="G330" s="10"/>
      <c r="H330" s="10"/>
      <c r="I330" s="10"/>
    </row>
    <row r="331" spans="2:9" ht="25" customHeight="1" x14ac:dyDescent="0.2">
      <c r="B331" s="10"/>
      <c r="C331" s="10"/>
      <c r="D331" s="10"/>
      <c r="E331" s="10"/>
      <c r="F331" s="10"/>
      <c r="G331" s="10"/>
      <c r="H331" s="10"/>
      <c r="I331" s="10"/>
    </row>
    <row r="332" spans="2:9" ht="25" customHeight="1" x14ac:dyDescent="0.2">
      <c r="B332" s="10"/>
      <c r="C332" s="10"/>
      <c r="D332" s="10"/>
      <c r="E332" s="10"/>
      <c r="F332" s="10"/>
      <c r="G332" s="10"/>
      <c r="H332" s="10"/>
      <c r="I332" s="10"/>
    </row>
    <row r="333" spans="2:9" ht="25" customHeight="1" x14ac:dyDescent="0.2">
      <c r="B333" s="10"/>
      <c r="C333" s="10"/>
      <c r="D333" s="10"/>
      <c r="E333" s="10"/>
      <c r="F333" s="10"/>
      <c r="G333" s="10"/>
      <c r="H333" s="10"/>
      <c r="I333" s="10"/>
    </row>
    <row r="334" spans="2:9" ht="25" customHeight="1" x14ac:dyDescent="0.2">
      <c r="B334" s="10"/>
      <c r="C334" s="10"/>
      <c r="D334" s="10"/>
      <c r="E334" s="10"/>
      <c r="F334" s="10"/>
      <c r="G334" s="10"/>
      <c r="H334" s="10"/>
      <c r="I334" s="10"/>
    </row>
    <row r="335" spans="2:9" ht="25" customHeight="1" x14ac:dyDescent="0.2">
      <c r="B335" s="10"/>
      <c r="C335" s="10"/>
      <c r="D335" s="10"/>
      <c r="E335" s="10"/>
      <c r="F335" s="10"/>
      <c r="G335" s="10"/>
      <c r="H335" s="10"/>
      <c r="I335" s="10"/>
    </row>
    <row r="336" spans="2:9" ht="25" customHeight="1" x14ac:dyDescent="0.2">
      <c r="B336" s="10"/>
      <c r="C336" s="10"/>
      <c r="D336" s="10"/>
      <c r="E336" s="10"/>
      <c r="F336" s="10"/>
      <c r="G336" s="10"/>
      <c r="H336" s="10"/>
      <c r="I336" s="10"/>
    </row>
    <row r="337" spans="2:9" ht="25" customHeight="1" x14ac:dyDescent="0.2">
      <c r="B337" s="10"/>
      <c r="C337" s="10"/>
      <c r="D337" s="10"/>
      <c r="E337" s="10"/>
      <c r="F337" s="10"/>
      <c r="G337" s="10"/>
      <c r="H337" s="10"/>
      <c r="I337" s="10"/>
    </row>
    <row r="338" spans="2:9" ht="25" customHeight="1" x14ac:dyDescent="0.2">
      <c r="B338" s="10"/>
      <c r="C338" s="10"/>
      <c r="D338" s="10"/>
      <c r="E338" s="10"/>
      <c r="F338" s="10"/>
      <c r="G338" s="10"/>
      <c r="H338" s="10"/>
      <c r="I338" s="10"/>
    </row>
    <row r="339" spans="2:9" ht="25" customHeight="1" x14ac:dyDescent="0.2">
      <c r="B339" s="10"/>
      <c r="C339" s="10"/>
      <c r="D339" s="10"/>
      <c r="E339" s="10"/>
      <c r="F339" s="10"/>
      <c r="G339" s="10"/>
      <c r="H339" s="10"/>
      <c r="I339" s="10"/>
    </row>
    <row r="340" spans="2:9" ht="25" customHeight="1" x14ac:dyDescent="0.2">
      <c r="B340" s="10"/>
      <c r="C340" s="10"/>
      <c r="D340" s="10"/>
      <c r="E340" s="10"/>
      <c r="F340" s="10"/>
      <c r="G340" s="10"/>
      <c r="H340" s="10"/>
      <c r="I340" s="10"/>
    </row>
    <row r="341" spans="2:9" ht="25" customHeight="1" x14ac:dyDescent="0.2">
      <c r="B341" s="10"/>
      <c r="C341" s="10"/>
      <c r="D341" s="10"/>
      <c r="E341" s="10"/>
      <c r="F341" s="10"/>
      <c r="G341" s="10"/>
      <c r="H341" s="10"/>
      <c r="I341" s="10"/>
    </row>
    <row r="342" spans="2:9" ht="25" customHeight="1" x14ac:dyDescent="0.2">
      <c r="B342" s="10"/>
      <c r="C342" s="10"/>
      <c r="D342" s="10"/>
      <c r="E342" s="10"/>
      <c r="F342" s="10"/>
      <c r="G342" s="10"/>
      <c r="H342" s="10"/>
      <c r="I342" s="10"/>
    </row>
    <row r="343" spans="2:9" ht="25" customHeight="1" x14ac:dyDescent="0.2">
      <c r="B343" s="10"/>
      <c r="C343" s="10"/>
      <c r="D343" s="10"/>
      <c r="E343" s="10"/>
      <c r="F343" s="10"/>
      <c r="G343" s="10"/>
      <c r="H343" s="10"/>
      <c r="I343" s="10"/>
    </row>
    <row r="344" spans="2:9" ht="25" customHeight="1" x14ac:dyDescent="0.2">
      <c r="B344" s="10"/>
      <c r="C344" s="10"/>
      <c r="D344" s="10"/>
      <c r="E344" s="10"/>
      <c r="F344" s="10"/>
      <c r="G344" s="10"/>
      <c r="H344" s="10"/>
      <c r="I344" s="10"/>
    </row>
    <row r="345" spans="2:9" ht="25" customHeight="1" x14ac:dyDescent="0.2">
      <c r="B345" s="10"/>
      <c r="C345" s="10"/>
      <c r="D345" s="10"/>
      <c r="E345" s="10"/>
      <c r="F345" s="10"/>
      <c r="G345" s="10"/>
      <c r="H345" s="10"/>
      <c r="I345" s="10"/>
    </row>
    <row r="346" spans="2:9" ht="25" customHeight="1" x14ac:dyDescent="0.2">
      <c r="B346" s="10"/>
      <c r="C346" s="10"/>
      <c r="D346" s="10"/>
      <c r="E346" s="10"/>
      <c r="F346" s="10"/>
      <c r="G346" s="10"/>
      <c r="H346" s="10"/>
      <c r="I346" s="10"/>
    </row>
    <row r="347" spans="2:9" ht="25" customHeight="1" x14ac:dyDescent="0.2">
      <c r="B347" s="10"/>
      <c r="C347" s="10"/>
      <c r="D347" s="10"/>
      <c r="E347" s="10"/>
      <c r="F347" s="10"/>
      <c r="G347" s="10"/>
      <c r="H347" s="10"/>
      <c r="I347" s="10"/>
    </row>
    <row r="348" spans="2:9" ht="25" customHeight="1" x14ac:dyDescent="0.2">
      <c r="B348" s="10"/>
      <c r="C348" s="10"/>
      <c r="D348" s="10"/>
      <c r="E348" s="10"/>
      <c r="F348" s="10"/>
      <c r="G348" s="10"/>
      <c r="H348" s="10"/>
      <c r="I348" s="10"/>
    </row>
    <row r="349" spans="2:9" ht="25" customHeight="1" x14ac:dyDescent="0.2">
      <c r="B349" s="10"/>
      <c r="C349" s="10"/>
      <c r="D349" s="10"/>
      <c r="E349" s="10"/>
      <c r="F349" s="10"/>
      <c r="G349" s="10"/>
      <c r="H349" s="10"/>
      <c r="I349" s="10"/>
    </row>
    <row r="350" spans="2:9" ht="25" customHeight="1" x14ac:dyDescent="0.2">
      <c r="C350" s="10"/>
      <c r="D350" s="10"/>
      <c r="E350" s="10"/>
      <c r="F350" s="10"/>
      <c r="G350" s="10"/>
      <c r="H350" s="10"/>
      <c r="I350" s="10"/>
    </row>
    <row r="351" spans="2:9" ht="25" customHeight="1" x14ac:dyDescent="0.2">
      <c r="C351" s="10"/>
      <c r="D351" s="10"/>
      <c r="E351" s="10"/>
      <c r="F351" s="10"/>
      <c r="G351" s="10"/>
      <c r="H351" s="10"/>
      <c r="I351" s="10"/>
    </row>
    <row r="352" spans="2:9" ht="25" customHeight="1" x14ac:dyDescent="0.2">
      <c r="C352" s="10"/>
      <c r="D352" s="10"/>
      <c r="E352" s="10"/>
      <c r="F352" s="10"/>
      <c r="G352" s="10"/>
      <c r="H352" s="10"/>
      <c r="I352" s="10"/>
    </row>
    <row r="353" spans="3:9" ht="25" customHeight="1" x14ac:dyDescent="0.2">
      <c r="C353" s="10"/>
      <c r="D353" s="10"/>
      <c r="E353" s="10"/>
      <c r="F353" s="10"/>
      <c r="G353" s="10"/>
      <c r="H353" s="10"/>
      <c r="I353" s="10"/>
    </row>
    <row r="354" spans="3:9" ht="25" customHeight="1" x14ac:dyDescent="0.2">
      <c r="C354" s="10"/>
      <c r="D354" s="10"/>
      <c r="E354" s="10"/>
      <c r="F354" s="10"/>
      <c r="G354" s="10"/>
      <c r="H354" s="10"/>
      <c r="I354" s="10"/>
    </row>
    <row r="355" spans="3:9" ht="25" customHeight="1" x14ac:dyDescent="0.2">
      <c r="C355" s="10"/>
      <c r="D355" s="10"/>
      <c r="E355" s="10"/>
      <c r="F355" s="10"/>
      <c r="G355" s="10"/>
      <c r="H355" s="10"/>
      <c r="I355" s="10"/>
    </row>
    <row r="356" spans="3:9" ht="25" customHeight="1" x14ac:dyDescent="0.2">
      <c r="C356" s="10"/>
      <c r="D356" s="10"/>
      <c r="E356" s="10"/>
      <c r="F356" s="10"/>
      <c r="G356" s="10"/>
      <c r="H356" s="10"/>
      <c r="I356" s="10"/>
    </row>
    <row r="357" spans="3:9" ht="25" customHeight="1" x14ac:dyDescent="0.2">
      <c r="C357" s="10"/>
      <c r="D357" s="10"/>
      <c r="E357" s="10"/>
      <c r="F357" s="10"/>
      <c r="G357" s="10"/>
      <c r="H357" s="10"/>
      <c r="I357" s="10"/>
    </row>
  </sheetData>
  <mergeCells count="3">
    <mergeCell ref="A1:B2"/>
    <mergeCell ref="A31:B32"/>
    <mergeCell ref="A74:B75"/>
  </mergeCells>
  <phoneticPr fontId="4" type="noConversion"/>
  <conditionalFormatting sqref="D69">
    <cfRule type="cellIs" dxfId="1" priority="1" operator="notEqual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87713-6A64-BA41-B7CB-EA1CA65B16BA}">
  <dimension ref="A1:P138"/>
  <sheetViews>
    <sheetView topLeftCell="A103" zoomScale="83" workbookViewId="0">
      <selection activeCell="E109" sqref="E109"/>
    </sheetView>
  </sheetViews>
  <sheetFormatPr baseColWidth="10" defaultColWidth="26" defaultRowHeight="20" customHeight="1" x14ac:dyDescent="0.2"/>
  <sheetData>
    <row r="1" spans="1:16" ht="20" customHeight="1" x14ac:dyDescent="0.2">
      <c r="A1" s="116" t="s">
        <v>118</v>
      </c>
      <c r="B1" s="116"/>
      <c r="C1" s="116"/>
      <c r="D1" s="116"/>
      <c r="E1" s="116"/>
      <c r="G1" s="27" t="s">
        <v>122</v>
      </c>
      <c r="H1" s="39" t="s">
        <v>119</v>
      </c>
      <c r="I1" s="39" t="s">
        <v>120</v>
      </c>
      <c r="J1" s="39" t="s">
        <v>121</v>
      </c>
      <c r="K1" s="39" t="s">
        <v>130</v>
      </c>
      <c r="L1" s="39" t="s">
        <v>131</v>
      </c>
      <c r="M1" s="39" t="s">
        <v>132</v>
      </c>
      <c r="N1" s="26"/>
    </row>
    <row r="2" spans="1:16" ht="20" customHeight="1" x14ac:dyDescent="0.3">
      <c r="A2" s="116"/>
      <c r="B2" s="116"/>
      <c r="C2" s="116"/>
      <c r="D2" s="116"/>
      <c r="E2" s="116"/>
      <c r="F2" s="1" t="s">
        <v>123</v>
      </c>
      <c r="G2" s="15">
        <f>+'Historical Financials'!$H$8</f>
        <v>67357</v>
      </c>
      <c r="H2" s="43">
        <f t="shared" ref="H2:M2" si="0">G2*(1+G83)</f>
        <v>94299.799999999988</v>
      </c>
      <c r="I2" s="43">
        <f t="shared" si="0"/>
        <v>125418.734</v>
      </c>
      <c r="J2" s="43">
        <f t="shared" si="0"/>
        <v>163044.3542</v>
      </c>
      <c r="K2" s="43">
        <f t="shared" si="0"/>
        <v>211957.66046000001</v>
      </c>
      <c r="L2" s="43">
        <f t="shared" si="0"/>
        <v>275544.95859800006</v>
      </c>
      <c r="M2" s="43">
        <f t="shared" si="0"/>
        <v>349942.09741946007</v>
      </c>
      <c r="N2" s="116" t="s">
        <v>153</v>
      </c>
      <c r="O2" s="116"/>
      <c r="P2" s="116"/>
    </row>
    <row r="3" spans="1:16" ht="20" customHeight="1" x14ac:dyDescent="0.3">
      <c r="A3" s="116"/>
      <c r="B3" s="116"/>
      <c r="C3" s="116"/>
      <c r="D3" s="116"/>
      <c r="E3" s="116"/>
      <c r="F3" s="1" t="s">
        <v>124</v>
      </c>
      <c r="G3" s="15">
        <f>+'Historical Financials'!$H$18</f>
        <v>20606</v>
      </c>
      <c r="H3" s="43">
        <f t="shared" ref="H3:M3" si="1">H2*G84</f>
        <v>32061.931999999997</v>
      </c>
      <c r="I3" s="43">
        <f t="shared" si="1"/>
        <v>43896.556899999996</v>
      </c>
      <c r="J3" s="43">
        <f t="shared" si="1"/>
        <v>57065.523969999995</v>
      </c>
      <c r="K3" s="43">
        <f t="shared" si="1"/>
        <v>76304.757765600007</v>
      </c>
      <c r="L3" s="43">
        <f t="shared" si="1"/>
        <v>96440.735509300008</v>
      </c>
      <c r="M3" s="43">
        <f t="shared" si="1"/>
        <v>118980.31312261643</v>
      </c>
      <c r="N3" s="116"/>
      <c r="O3" s="116"/>
      <c r="P3" s="116"/>
    </row>
    <row r="4" spans="1:16" ht="20" customHeight="1" x14ac:dyDescent="0.3">
      <c r="A4" s="116"/>
      <c r="B4" s="116"/>
      <c r="C4" s="116"/>
      <c r="D4" s="116"/>
      <c r="E4" s="116"/>
      <c r="F4" s="1" t="s">
        <v>30</v>
      </c>
      <c r="G4" s="15">
        <f>+'Historical Financials'!$H$23</f>
        <v>17087</v>
      </c>
      <c r="H4" s="43">
        <f t="shared" ref="H4:M4" si="2">H3*(1-G86)*(1-G88)</f>
        <v>25997.096942879998</v>
      </c>
      <c r="I4" s="43">
        <f t="shared" si="2"/>
        <v>35707.654210305001</v>
      </c>
      <c r="J4" s="43">
        <f t="shared" si="2"/>
        <v>46568.891490958194</v>
      </c>
      <c r="K4" s="43">
        <f t="shared" si="2"/>
        <v>62202.875482939482</v>
      </c>
      <c r="L4" s="43">
        <f t="shared" si="2"/>
        <v>78869.233499505543</v>
      </c>
      <c r="M4" s="43">
        <f t="shared" si="2"/>
        <v>97819.664433759084</v>
      </c>
      <c r="N4" s="116"/>
      <c r="O4" s="116"/>
      <c r="P4" s="116"/>
    </row>
    <row r="5" spans="1:16" ht="20" customHeight="1" x14ac:dyDescent="0.3">
      <c r="A5" s="116"/>
      <c r="B5" s="116"/>
      <c r="C5" s="116"/>
      <c r="D5" s="116"/>
      <c r="E5" s="116"/>
      <c r="F5" s="1" t="s">
        <v>125</v>
      </c>
      <c r="G5" s="15">
        <f>+'Historical Financials'!$G$90</f>
        <v>31977</v>
      </c>
      <c r="H5" s="43">
        <f t="shared" ref="H5:M5" si="3">H4+H2*G87+G89*H2+G90*H2+G91*H2</f>
        <v>38256.070942879996</v>
      </c>
      <c r="I5" s="43">
        <f t="shared" si="3"/>
        <v>51761.252162304998</v>
      </c>
      <c r="J5" s="43">
        <f t="shared" si="3"/>
        <v>65808.125286558192</v>
      </c>
      <c r="K5" s="43">
        <f t="shared" si="3"/>
        <v>87213.879417219476</v>
      </c>
      <c r="L5" s="43">
        <f t="shared" si="3"/>
        <v>107801.45415229556</v>
      </c>
      <c r="M5" s="43">
        <f t="shared" si="3"/>
        <v>130364.27949376887</v>
      </c>
      <c r="N5" s="116"/>
      <c r="O5" s="116"/>
      <c r="P5" s="116"/>
    </row>
    <row r="6" spans="1:16" ht="20" customHeight="1" x14ac:dyDescent="0.3">
      <c r="A6" s="116"/>
      <c r="B6" s="116"/>
      <c r="C6" s="116"/>
      <c r="D6" s="116"/>
      <c r="E6" s="116"/>
      <c r="F6" s="1" t="s">
        <v>86</v>
      </c>
      <c r="G6" s="15">
        <f>+'Historical Financials'!$G$95</f>
        <v>-55663</v>
      </c>
      <c r="H6" s="43">
        <f t="shared" ref="H6:M6" si="4">-H2*G85</f>
        <v>-56579.87999999999</v>
      </c>
      <c r="I6" s="43">
        <f t="shared" si="4"/>
        <v>-50167.493600000002</v>
      </c>
      <c r="J6" s="43">
        <f t="shared" si="4"/>
        <v>-48913.306259999998</v>
      </c>
      <c r="K6" s="43">
        <f t="shared" si="4"/>
        <v>-52989.415115000003</v>
      </c>
      <c r="L6" s="43">
        <f t="shared" si="4"/>
        <v>-55108.991719600017</v>
      </c>
      <c r="M6" s="43">
        <f t="shared" si="4"/>
        <v>-69988.419483892023</v>
      </c>
      <c r="N6" s="26"/>
    </row>
    <row r="7" spans="1:16" ht="20" customHeight="1" x14ac:dyDescent="0.3">
      <c r="A7" s="116"/>
      <c r="B7" s="116"/>
      <c r="C7" s="116"/>
      <c r="D7" s="116"/>
      <c r="E7" s="116"/>
      <c r="F7" s="1" t="s">
        <v>105</v>
      </c>
      <c r="G7" s="15">
        <f>+'Historical Financials'!$G$113</f>
        <v>-23686</v>
      </c>
      <c r="H7" s="43">
        <f>H5+H6</f>
        <v>-18323.809057119994</v>
      </c>
      <c r="I7" s="43">
        <f t="shared" ref="I7" si="5">I5+I6</f>
        <v>1593.7585623049963</v>
      </c>
      <c r="J7" s="43">
        <f>J5+J6</f>
        <v>16894.819026558194</v>
      </c>
      <c r="K7" s="43">
        <f t="shared" ref="K7:M7" si="6">K5+K6</f>
        <v>34224.464302219472</v>
      </c>
      <c r="L7" s="43">
        <f t="shared" si="6"/>
        <v>52692.462432695538</v>
      </c>
      <c r="M7" s="43">
        <f t="shared" si="6"/>
        <v>60375.860009876851</v>
      </c>
      <c r="N7" s="26"/>
    </row>
    <row r="8" spans="1:16" ht="20" customHeight="1" x14ac:dyDescent="0.3">
      <c r="A8" s="116"/>
      <c r="B8" s="116"/>
      <c r="C8" s="116"/>
      <c r="D8" s="116"/>
      <c r="E8" s="116"/>
      <c r="F8" s="1"/>
      <c r="G8" s="1"/>
      <c r="H8" s="1"/>
      <c r="I8" s="1"/>
      <c r="J8" s="1"/>
      <c r="K8" s="1"/>
    </row>
    <row r="9" spans="1:16" ht="20" customHeight="1" x14ac:dyDescent="0.3">
      <c r="F9" s="1"/>
      <c r="G9" s="1"/>
      <c r="H9" s="1"/>
      <c r="I9" s="1"/>
      <c r="J9" s="1"/>
      <c r="K9" s="1"/>
    </row>
    <row r="10" spans="1:16" ht="20" customHeight="1" x14ac:dyDescent="0.3">
      <c r="F10" s="1"/>
      <c r="G10" s="1"/>
      <c r="H10" s="1"/>
      <c r="I10" s="1"/>
      <c r="J10" s="1"/>
      <c r="K10" s="1"/>
    </row>
    <row r="11" spans="1:16" ht="20" customHeight="1" x14ac:dyDescent="0.3">
      <c r="F11" s="1"/>
      <c r="G11" s="1"/>
      <c r="H11" s="1"/>
      <c r="I11" s="1"/>
      <c r="J11" s="1"/>
      <c r="K11" s="1"/>
    </row>
    <row r="12" spans="1:16" ht="20" customHeight="1" x14ac:dyDescent="0.3">
      <c r="F12" s="1"/>
      <c r="G12" s="1"/>
      <c r="H12" s="1"/>
      <c r="I12" s="1"/>
      <c r="J12" s="1"/>
      <c r="K12" s="1"/>
    </row>
    <row r="13" spans="1:16" ht="20" customHeight="1" x14ac:dyDescent="0.3">
      <c r="F13" s="1"/>
      <c r="G13" s="1"/>
      <c r="H13" s="1"/>
      <c r="I13" s="1"/>
      <c r="J13" s="1"/>
      <c r="K13" s="1"/>
    </row>
    <row r="14" spans="1:16" ht="20" customHeight="1" x14ac:dyDescent="0.3">
      <c r="F14" s="1"/>
      <c r="G14" s="1"/>
      <c r="H14" s="1"/>
      <c r="I14" s="1"/>
      <c r="J14" s="1"/>
      <c r="K14" s="1"/>
    </row>
    <row r="15" spans="1:16" ht="20" customHeight="1" x14ac:dyDescent="0.3">
      <c r="A15" s="30"/>
      <c r="B15" s="30"/>
      <c r="C15" s="30"/>
      <c r="D15" s="30"/>
      <c r="E15" s="30"/>
      <c r="F15" s="31"/>
      <c r="G15" s="31"/>
      <c r="H15" s="31"/>
      <c r="I15" s="31"/>
      <c r="J15" s="1"/>
      <c r="K15" s="1"/>
    </row>
    <row r="16" spans="1:16" ht="20" customHeight="1" x14ac:dyDescent="0.3">
      <c r="A16" s="30"/>
      <c r="B16" s="30"/>
      <c r="C16" s="30"/>
      <c r="D16" s="30"/>
      <c r="E16" s="30"/>
      <c r="F16" s="31"/>
      <c r="G16" s="31"/>
      <c r="H16" s="31"/>
      <c r="I16" s="31"/>
      <c r="J16" s="1"/>
      <c r="K16" s="1"/>
    </row>
    <row r="17" spans="1:16" ht="20" customHeight="1" x14ac:dyDescent="0.3">
      <c r="A17" s="30"/>
      <c r="B17" s="30"/>
      <c r="C17" s="30"/>
      <c r="D17" s="30"/>
      <c r="E17" s="30"/>
      <c r="F17" s="31"/>
      <c r="G17" s="31"/>
      <c r="H17" s="31"/>
      <c r="I17" s="31"/>
      <c r="J17" s="1"/>
      <c r="K17" s="1"/>
    </row>
    <row r="18" spans="1:16" ht="20" customHeight="1" x14ac:dyDescent="0.3">
      <c r="A18" s="30"/>
      <c r="B18" s="30"/>
      <c r="C18" s="30"/>
      <c r="D18" s="30"/>
      <c r="E18" s="30"/>
      <c r="F18" s="31"/>
      <c r="G18" s="31"/>
      <c r="H18" s="31"/>
      <c r="I18" s="31"/>
      <c r="J18" s="1"/>
      <c r="K18" s="1"/>
    </row>
    <row r="19" spans="1:16" ht="20" customHeight="1" x14ac:dyDescent="0.3">
      <c r="A19" s="30"/>
      <c r="B19" s="30"/>
      <c r="C19" s="30"/>
      <c r="D19" s="30"/>
      <c r="E19" s="30"/>
      <c r="F19" s="31"/>
      <c r="G19" s="31"/>
      <c r="H19" s="31"/>
      <c r="I19" s="31"/>
      <c r="J19" s="1"/>
      <c r="K19" s="1"/>
    </row>
    <row r="26" spans="1:16" ht="20" customHeight="1" x14ac:dyDescent="0.2">
      <c r="G26" s="27" t="s">
        <v>122</v>
      </c>
      <c r="H26" s="39" t="s">
        <v>119</v>
      </c>
      <c r="I26" s="39" t="s">
        <v>120</v>
      </c>
      <c r="J26" s="39" t="s">
        <v>121</v>
      </c>
      <c r="K26" s="39" t="s">
        <v>130</v>
      </c>
      <c r="L26" s="39" t="s">
        <v>131</v>
      </c>
      <c r="M26" s="39" t="s">
        <v>132</v>
      </c>
    </row>
    <row r="27" spans="1:16" ht="20" customHeight="1" x14ac:dyDescent="0.3">
      <c r="F27" s="1" t="s">
        <v>123</v>
      </c>
      <c r="G27" s="15">
        <f>+'Historical Financials'!$H$8</f>
        <v>67357</v>
      </c>
      <c r="H27" s="43">
        <f t="shared" ref="H27:M27" si="7">G27*(1+G108)</f>
        <v>89921.595000000001</v>
      </c>
      <c r="I27" s="43">
        <f t="shared" si="7"/>
        <v>112401.99374999999</v>
      </c>
      <c r="J27" s="43">
        <f t="shared" si="7"/>
        <v>134882.39249999999</v>
      </c>
      <c r="K27" s="43">
        <f t="shared" si="7"/>
        <v>156463.57529999997</v>
      </c>
      <c r="L27" s="43">
        <f t="shared" si="7"/>
        <v>181497.74734799995</v>
      </c>
      <c r="M27" s="43">
        <f t="shared" si="7"/>
        <v>208722.40945019992</v>
      </c>
      <c r="N27" s="116" t="s">
        <v>154</v>
      </c>
      <c r="O27" s="116"/>
      <c r="P27" s="116"/>
    </row>
    <row r="28" spans="1:16" ht="20" customHeight="1" x14ac:dyDescent="0.3">
      <c r="F28" s="1" t="s">
        <v>124</v>
      </c>
      <c r="G28" s="15">
        <f>+'Historical Financials'!$H$18</f>
        <v>20606</v>
      </c>
      <c r="H28" s="43">
        <f t="shared" ref="H28:M28" si="8">H27*G109</f>
        <v>28325.302425000002</v>
      </c>
      <c r="I28" s="43">
        <f t="shared" si="8"/>
        <v>35968.637999999999</v>
      </c>
      <c r="J28" s="43">
        <f t="shared" si="8"/>
        <v>43836.777562499999</v>
      </c>
      <c r="K28" s="43">
        <f t="shared" si="8"/>
        <v>51632.979848999988</v>
      </c>
      <c r="L28" s="43">
        <f t="shared" si="8"/>
        <v>59894.256624839982</v>
      </c>
      <c r="M28" s="43">
        <f t="shared" si="8"/>
        <v>68878.395118565983</v>
      </c>
      <c r="N28" s="116"/>
      <c r="O28" s="116"/>
      <c r="P28" s="116"/>
    </row>
    <row r="29" spans="1:16" ht="20" customHeight="1" x14ac:dyDescent="0.3">
      <c r="F29" s="1" t="s">
        <v>30</v>
      </c>
      <c r="G29" s="15">
        <f>+'Historical Financials'!$H$23</f>
        <v>17087</v>
      </c>
      <c r="H29" s="43">
        <f t="shared" ref="H29:M29" si="9">H28*(1-G111)*(1-G113)</f>
        <v>22967.288218287002</v>
      </c>
      <c r="I29" s="43">
        <f>I28*(1-H111)*(1-H113)</f>
        <v>29258.688581099999</v>
      </c>
      <c r="J29" s="43">
        <f t="shared" si="9"/>
        <v>35773.440697653743</v>
      </c>
      <c r="K29" s="43">
        <f t="shared" si="9"/>
        <v>42090.688843106305</v>
      </c>
      <c r="L29" s="43">
        <f t="shared" si="9"/>
        <v>48981.523067794136</v>
      </c>
      <c r="M29" s="43">
        <f t="shared" si="9"/>
        <v>56628.372546729021</v>
      </c>
      <c r="N29" s="116"/>
      <c r="O29" s="116"/>
      <c r="P29" s="116"/>
    </row>
    <row r="30" spans="1:16" ht="20" customHeight="1" x14ac:dyDescent="0.3">
      <c r="F30" s="1" t="s">
        <v>125</v>
      </c>
      <c r="G30" s="15">
        <f>+'Historical Financials'!$G$90</f>
        <v>31977</v>
      </c>
      <c r="H30" s="43">
        <f t="shared" ref="H30:M30" si="10">H29+H27*G112+G114*H27+G115*H27+G116*H27</f>
        <v>34657.095568286997</v>
      </c>
      <c r="I30" s="43">
        <f t="shared" si="10"/>
        <v>43646.1437811</v>
      </c>
      <c r="J30" s="43">
        <f t="shared" si="10"/>
        <v>51419.798227653744</v>
      </c>
      <c r="K30" s="43">
        <f t="shared" si="10"/>
        <v>60084.000002606299</v>
      </c>
      <c r="L30" s="43">
        <f t="shared" si="10"/>
        <v>68038.786539334134</v>
      </c>
      <c r="M30" s="43">
        <f t="shared" si="10"/>
        <v>76039.556625597615</v>
      </c>
      <c r="N30" s="116"/>
      <c r="O30" s="116"/>
      <c r="P30" s="116"/>
    </row>
    <row r="31" spans="1:16" ht="20" customHeight="1" x14ac:dyDescent="0.3">
      <c r="F31" s="1" t="s">
        <v>86</v>
      </c>
      <c r="G31" s="15">
        <f>+'Historical Financials'!$G$95</f>
        <v>-55663</v>
      </c>
      <c r="H31" s="43">
        <f t="shared" ref="H31:M31" si="11">-H27*G110</f>
        <v>-53952.957000000002</v>
      </c>
      <c r="I31" s="43">
        <f t="shared" si="11"/>
        <v>-50580.897187499999</v>
      </c>
      <c r="J31" s="43">
        <f t="shared" si="11"/>
        <v>-43162.365599999997</v>
      </c>
      <c r="K31" s="43">
        <f t="shared" si="11"/>
        <v>-39115.893824999992</v>
      </c>
      <c r="L31" s="43">
        <f t="shared" si="11"/>
        <v>-39929.50441655999</v>
      </c>
      <c r="M31" s="43">
        <f t="shared" si="11"/>
        <v>-41744.481890039984</v>
      </c>
    </row>
    <row r="32" spans="1:16" ht="20" customHeight="1" x14ac:dyDescent="0.3">
      <c r="F32" s="1" t="s">
        <v>105</v>
      </c>
      <c r="G32" s="15">
        <f>+'Historical Financials'!$G$113</f>
        <v>-23686</v>
      </c>
      <c r="H32" s="43">
        <f>H30+H31</f>
        <v>-19295.861431713005</v>
      </c>
      <c r="I32" s="43">
        <f t="shared" ref="I32" si="12">I30+I31</f>
        <v>-6934.7534063999992</v>
      </c>
      <c r="J32" s="43">
        <f>J30+J31</f>
        <v>8257.4326276537467</v>
      </c>
      <c r="K32" s="43">
        <f t="shared" ref="K32:M32" si="13">K30+K31</f>
        <v>20968.106177606307</v>
      </c>
      <c r="L32" s="43">
        <f t="shared" si="13"/>
        <v>28109.282122774144</v>
      </c>
      <c r="M32" s="43">
        <f t="shared" si="13"/>
        <v>34295.074735557631</v>
      </c>
    </row>
    <row r="48" spans="7:13" ht="20" customHeight="1" x14ac:dyDescent="0.2">
      <c r="G48" s="27" t="s">
        <v>122</v>
      </c>
      <c r="H48" s="39" t="s">
        <v>119</v>
      </c>
      <c r="I48" s="39" t="s">
        <v>120</v>
      </c>
      <c r="J48" s="39" t="s">
        <v>121</v>
      </c>
      <c r="K48" s="39" t="s">
        <v>130</v>
      </c>
      <c r="L48" s="39" t="s">
        <v>131</v>
      </c>
      <c r="M48" s="39" t="s">
        <v>132</v>
      </c>
    </row>
    <row r="49" spans="6:16" ht="20" customHeight="1" x14ac:dyDescent="0.3">
      <c r="F49" s="1" t="s">
        <v>123</v>
      </c>
      <c r="G49" s="15">
        <f>+'Historical Financials'!$H$8</f>
        <v>67357</v>
      </c>
      <c r="H49" s="43">
        <f t="shared" ref="H49:M49" si="14">G49*(1+G130)</f>
        <v>84196.25</v>
      </c>
      <c r="I49" s="43">
        <f t="shared" si="14"/>
        <v>99351.574999999997</v>
      </c>
      <c r="J49" s="43">
        <f t="shared" si="14"/>
        <v>115247.82699999999</v>
      </c>
      <c r="K49" s="43">
        <f t="shared" si="14"/>
        <v>132535.00104999999</v>
      </c>
      <c r="L49" s="43">
        <f t="shared" si="14"/>
        <v>145788.50115500001</v>
      </c>
      <c r="M49" s="43">
        <f t="shared" si="14"/>
        <v>160367.35127050002</v>
      </c>
      <c r="N49" s="116" t="s">
        <v>155</v>
      </c>
      <c r="O49" s="116"/>
      <c r="P49" s="116"/>
    </row>
    <row r="50" spans="6:16" ht="20" customHeight="1" x14ac:dyDescent="0.3">
      <c r="F50" s="1" t="s">
        <v>124</v>
      </c>
      <c r="G50" s="15">
        <f>+'Historical Financials'!$H$18</f>
        <v>20606</v>
      </c>
      <c r="H50" s="43">
        <f t="shared" ref="H50:M50" si="15">H49*G131</f>
        <v>24416.912499999999</v>
      </c>
      <c r="I50" s="43">
        <f t="shared" si="15"/>
        <v>28811.956749999998</v>
      </c>
      <c r="J50" s="43">
        <f t="shared" si="15"/>
        <v>33998.108964999992</v>
      </c>
      <c r="K50" s="43">
        <f t="shared" si="15"/>
        <v>39760.500314999997</v>
      </c>
      <c r="L50" s="43">
        <f t="shared" si="15"/>
        <v>43736.5503465</v>
      </c>
      <c r="M50" s="43">
        <f t="shared" si="15"/>
        <v>48110.205381150001</v>
      </c>
      <c r="N50" s="116"/>
      <c r="O50" s="116"/>
      <c r="P50" s="116"/>
    </row>
    <row r="51" spans="6:16" ht="20" customHeight="1" x14ac:dyDescent="0.3">
      <c r="F51" s="1" t="s">
        <v>30</v>
      </c>
      <c r="G51" s="15">
        <f>+'Historical Financials'!$H$23</f>
        <v>17087</v>
      </c>
      <c r="H51" s="43">
        <f t="shared" ref="H51:M51" si="16">H50*(1-G133)*(1-G135)</f>
        <v>19798.209331499995</v>
      </c>
      <c r="I51" s="43">
        <f t="shared" si="16"/>
        <v>23437.086218287499</v>
      </c>
      <c r="J51" s="43">
        <f t="shared" si="16"/>
        <v>27744.496801977893</v>
      </c>
      <c r="K51" s="43">
        <f t="shared" si="16"/>
        <v>32412.362251784853</v>
      </c>
      <c r="L51" s="43">
        <f t="shared" si="16"/>
        <v>35767.750873367695</v>
      </c>
      <c r="M51" s="43">
        <f t="shared" si="16"/>
        <v>39553.805354112468</v>
      </c>
      <c r="N51" s="116"/>
      <c r="O51" s="116"/>
      <c r="P51" s="116"/>
    </row>
    <row r="52" spans="6:16" ht="20" customHeight="1" x14ac:dyDescent="0.3">
      <c r="F52" s="1" t="s">
        <v>125</v>
      </c>
      <c r="G52" s="15">
        <f>+'Historical Financials'!$G$90</f>
        <v>31977</v>
      </c>
      <c r="H52" s="43">
        <f t="shared" ref="H52:M52" si="17">H51+H49*G134+G136*H49+G137*H49+G138*H49</f>
        <v>31585.684331499997</v>
      </c>
      <c r="I52" s="43">
        <f t="shared" si="17"/>
        <v>37147.603568287494</v>
      </c>
      <c r="J52" s="43">
        <f t="shared" si="17"/>
        <v>41343.740387977894</v>
      </c>
      <c r="K52" s="43">
        <f t="shared" si="17"/>
        <v>48051.492375684851</v>
      </c>
      <c r="L52" s="43">
        <f t="shared" si="17"/>
        <v>51075.54349464269</v>
      </c>
      <c r="M52" s="43">
        <f t="shared" si="17"/>
        <v>54467.969022268975</v>
      </c>
      <c r="N52" s="116"/>
      <c r="O52" s="116"/>
      <c r="P52" s="116"/>
    </row>
    <row r="53" spans="6:16" ht="20" customHeight="1" x14ac:dyDescent="0.3">
      <c r="F53" s="1" t="s">
        <v>86</v>
      </c>
      <c r="G53" s="15">
        <f>+'Historical Financials'!$G$95</f>
        <v>-55663</v>
      </c>
      <c r="H53" s="43">
        <f t="shared" ref="H53:M53" si="18">-H49*G132</f>
        <v>-54727.5625</v>
      </c>
      <c r="I53" s="43">
        <f t="shared" si="18"/>
        <v>-49675.787499999999</v>
      </c>
      <c r="J53" s="43">
        <f t="shared" si="18"/>
        <v>-40336.739449999994</v>
      </c>
      <c r="K53" s="43">
        <f t="shared" si="18"/>
        <v>-37109.800294000001</v>
      </c>
      <c r="L53" s="43">
        <f t="shared" si="18"/>
        <v>-34989.240277199999</v>
      </c>
      <c r="M53" s="43">
        <f t="shared" si="18"/>
        <v>-35280.817279510004</v>
      </c>
    </row>
    <row r="54" spans="6:16" ht="20" customHeight="1" x14ac:dyDescent="0.3">
      <c r="F54" s="1" t="s">
        <v>105</v>
      </c>
      <c r="G54" s="15">
        <f>+'Historical Financials'!$G$113</f>
        <v>-23686</v>
      </c>
      <c r="H54" s="43">
        <f>H52+H53</f>
        <v>-23141.878168500003</v>
      </c>
      <c r="I54" s="43">
        <f t="shared" ref="I54" si="19">I52+I53</f>
        <v>-12528.183931712505</v>
      </c>
      <c r="J54" s="43">
        <f>J52+J53</f>
        <v>1007.0009379779003</v>
      </c>
      <c r="K54" s="43">
        <f t="shared" ref="K54:M54" si="20">K52+K53</f>
        <v>10941.692081684851</v>
      </c>
      <c r="L54" s="43">
        <f t="shared" si="20"/>
        <v>16086.303217442692</v>
      </c>
      <c r="M54" s="43">
        <f t="shared" si="20"/>
        <v>19187.151742758972</v>
      </c>
    </row>
    <row r="76" spans="1:11" ht="20" customHeight="1" x14ac:dyDescent="0.3">
      <c r="A76" s="116" t="s">
        <v>153</v>
      </c>
      <c r="B76" s="116"/>
      <c r="C76" s="30"/>
      <c r="D76" s="30"/>
      <c r="E76" s="30"/>
      <c r="F76" s="31"/>
      <c r="G76" s="31"/>
      <c r="H76" s="31"/>
      <c r="I76" s="31"/>
      <c r="J76" s="1"/>
      <c r="K76" s="1"/>
    </row>
    <row r="77" spans="1:11" ht="20" customHeight="1" x14ac:dyDescent="0.3">
      <c r="A77" s="116"/>
      <c r="B77" s="116"/>
      <c r="C77" s="30"/>
      <c r="D77" s="30"/>
      <c r="E77" s="30"/>
      <c r="F77" s="31"/>
      <c r="G77" s="31"/>
      <c r="H77" s="31"/>
      <c r="I77" s="31"/>
      <c r="J77" s="1"/>
      <c r="K77" s="1"/>
    </row>
    <row r="78" spans="1:11" ht="20" customHeight="1" x14ac:dyDescent="0.3">
      <c r="F78" s="1"/>
      <c r="G78" s="1"/>
      <c r="H78" s="1"/>
      <c r="I78" s="1"/>
      <c r="J78" s="1"/>
      <c r="K78" s="1"/>
    </row>
    <row r="79" spans="1:11" ht="20" customHeight="1" x14ac:dyDescent="0.3">
      <c r="F79" s="1"/>
      <c r="G79" s="1"/>
      <c r="H79" s="1"/>
      <c r="I79" s="1"/>
      <c r="J79" s="1"/>
      <c r="K79" s="1"/>
    </row>
    <row r="80" spans="1:11" ht="20" customHeight="1" x14ac:dyDescent="0.3">
      <c r="F80" s="1"/>
      <c r="G80" s="1"/>
      <c r="H80" s="1"/>
      <c r="I80" s="1"/>
      <c r="J80" s="1"/>
      <c r="K80" s="1"/>
    </row>
    <row r="81" spans="1:12" ht="20" customHeight="1" x14ac:dyDescent="0.3">
      <c r="A81" s="1"/>
      <c r="B81" s="1" t="s">
        <v>111</v>
      </c>
      <c r="C81" s="1" t="s">
        <v>110</v>
      </c>
      <c r="D81" s="1" t="s">
        <v>109</v>
      </c>
      <c r="E81" s="1" t="s">
        <v>108</v>
      </c>
      <c r="F81" s="1" t="s">
        <v>112</v>
      </c>
      <c r="G81" s="40" t="s">
        <v>113</v>
      </c>
      <c r="H81" s="40" t="s">
        <v>114</v>
      </c>
      <c r="I81" s="40" t="s">
        <v>115</v>
      </c>
      <c r="J81" s="40" t="s">
        <v>130</v>
      </c>
      <c r="K81" s="40" t="s">
        <v>131</v>
      </c>
      <c r="L81" s="40" t="s">
        <v>132</v>
      </c>
    </row>
    <row r="82" spans="1:12" ht="20" customHeight="1" x14ac:dyDescent="0.3">
      <c r="A82" s="1"/>
      <c r="B82" s="32"/>
      <c r="C82" s="32"/>
      <c r="D82" s="32"/>
      <c r="E82" s="32"/>
      <c r="F82" s="32"/>
      <c r="G82" s="38"/>
      <c r="H82" s="38"/>
      <c r="I82" s="38"/>
      <c r="J82" s="40"/>
      <c r="K82" s="40"/>
      <c r="L82" s="40"/>
    </row>
    <row r="83" spans="1:12" ht="20" customHeight="1" x14ac:dyDescent="0.2">
      <c r="A83" s="10" t="s">
        <v>8</v>
      </c>
      <c r="B83" s="37"/>
      <c r="C83" s="37">
        <v>0.17704995287464653</v>
      </c>
      <c r="D83" s="37">
        <v>6.0195379749369504E-2</v>
      </c>
      <c r="E83" s="37">
        <v>8.3797511376295875E-2</v>
      </c>
      <c r="F83" s="37">
        <v>0.1734873429850694</v>
      </c>
      <c r="G83" s="38">
        <v>0.4</v>
      </c>
      <c r="H83" s="38">
        <v>0.33</v>
      </c>
      <c r="I83" s="38">
        <v>0.3</v>
      </c>
      <c r="J83" s="38">
        <v>0.3</v>
      </c>
      <c r="K83" s="38">
        <v>0.3</v>
      </c>
      <c r="L83" s="38">
        <v>0.27</v>
      </c>
    </row>
    <row r="84" spans="1:12" ht="20" customHeight="1" x14ac:dyDescent="0.2">
      <c r="A84" s="10" t="s">
        <v>106</v>
      </c>
      <c r="B84" s="37">
        <v>0.25744580584354382</v>
      </c>
      <c r="C84" s="37">
        <v>0.26210113304239901</v>
      </c>
      <c r="D84" s="37">
        <v>0.28989256245161532</v>
      </c>
      <c r="E84" s="37">
        <v>0.30798445965957594</v>
      </c>
      <c r="F84" s="37">
        <v>0.30592217586887777</v>
      </c>
      <c r="G84" s="38">
        <v>0.34</v>
      </c>
      <c r="H84" s="38">
        <v>0.35</v>
      </c>
      <c r="I84" s="38">
        <v>0.35</v>
      </c>
      <c r="J84" s="38">
        <v>0.36</v>
      </c>
      <c r="K84" s="38">
        <v>0.35</v>
      </c>
      <c r="L84" s="38">
        <v>0.34</v>
      </c>
    </row>
    <row r="85" spans="1:12" ht="20" customHeight="1" x14ac:dyDescent="0.2">
      <c r="A85" s="10" t="s">
        <v>107</v>
      </c>
      <c r="B85" s="37">
        <v>0.10629123468426013</v>
      </c>
      <c r="C85" s="37">
        <v>0.17406013532449854</v>
      </c>
      <c r="D85" s="37">
        <v>0.12964256717207001</v>
      </c>
      <c r="E85" s="37">
        <v>0.36960574226031812</v>
      </c>
      <c r="F85" s="37">
        <v>0.8263877547990558</v>
      </c>
      <c r="G85" s="38">
        <v>0.6</v>
      </c>
      <c r="H85" s="38">
        <v>0.4</v>
      </c>
      <c r="I85" s="38">
        <v>0.3</v>
      </c>
      <c r="J85" s="38">
        <v>0.25</v>
      </c>
      <c r="K85" s="38">
        <v>0.2</v>
      </c>
      <c r="L85" s="38">
        <v>0.2</v>
      </c>
    </row>
    <row r="86" spans="1:12" ht="20" customHeight="1" x14ac:dyDescent="0.2">
      <c r="A86" s="10" t="s">
        <v>116</v>
      </c>
      <c r="B86" s="37">
        <v>0.12184599294025363</v>
      </c>
      <c r="C86" s="37">
        <v>6.826649134341442E-2</v>
      </c>
      <c r="D86" s="37">
        <v>0.10850864491951281</v>
      </c>
      <c r="E86" s="37">
        <v>0.12125706214689265</v>
      </c>
      <c r="F86" s="37">
        <v>0.12616344481947428</v>
      </c>
      <c r="G86" s="38">
        <v>0.13</v>
      </c>
      <c r="H86" s="38">
        <v>0.13</v>
      </c>
      <c r="I86" s="38">
        <v>0.13</v>
      </c>
      <c r="J86" s="38">
        <v>0.13</v>
      </c>
      <c r="K86" s="38">
        <v>0.13</v>
      </c>
      <c r="L86" s="38">
        <v>0.13</v>
      </c>
    </row>
    <row r="87" spans="1:12" ht="20" customHeight="1" x14ac:dyDescent="0.2">
      <c r="A87" s="10" t="s">
        <v>117</v>
      </c>
      <c r="B87" s="37">
        <v>7.3562676720075396E-2</v>
      </c>
      <c r="C87" s="37">
        <v>0.12227249069143613</v>
      </c>
      <c r="D87" s="37">
        <v>0.11591548497951323</v>
      </c>
      <c r="E87" s="37">
        <v>0.10756284952699524</v>
      </c>
      <c r="F87" s="37">
        <v>0.13798120462609678</v>
      </c>
      <c r="G87" s="38">
        <v>0.09</v>
      </c>
      <c r="H87" s="38">
        <v>0.09</v>
      </c>
      <c r="I87" s="38">
        <v>0.08</v>
      </c>
      <c r="J87" s="38">
        <v>0.08</v>
      </c>
      <c r="K87" s="38">
        <v>7.0000000000000007E-2</v>
      </c>
      <c r="L87" s="38">
        <v>6.5000000000000002E-2</v>
      </c>
    </row>
    <row r="88" spans="1:12" ht="20" customHeight="1" x14ac:dyDescent="0.2">
      <c r="A88" s="10" t="s">
        <v>126</v>
      </c>
      <c r="B88" s="37">
        <v>6.4915174363807726E-2</v>
      </c>
      <c r="C88" s="37">
        <v>7.01645513872763E-2</v>
      </c>
      <c r="D88" s="37">
        <v>6.6350710900473939E-2</v>
      </c>
      <c r="E88" s="37">
        <v>6.2335580759246674E-2</v>
      </c>
      <c r="F88" s="37">
        <v>6.8277981501551441E-2</v>
      </c>
      <c r="G88" s="38">
        <v>6.8000000000000005E-2</v>
      </c>
      <c r="H88" s="38">
        <v>6.5000000000000002E-2</v>
      </c>
      <c r="I88" s="38">
        <v>6.2E-2</v>
      </c>
      <c r="J88" s="38">
        <v>6.3E-2</v>
      </c>
      <c r="K88" s="38">
        <v>0.06</v>
      </c>
      <c r="L88" s="38">
        <v>5.5E-2</v>
      </c>
    </row>
    <row r="89" spans="1:12" ht="20" customHeight="1" x14ac:dyDescent="0.2">
      <c r="A89" s="10" t="s">
        <v>127</v>
      </c>
      <c r="B89" s="37">
        <v>6.1569274269557023E-2</v>
      </c>
      <c r="C89" s="37">
        <v>7.1005324898906999E-2</v>
      </c>
      <c r="D89" s="37">
        <v>7.5036347500991293E-2</v>
      </c>
      <c r="E89" s="37">
        <v>8.1429990069513403E-2</v>
      </c>
      <c r="F89" s="37">
        <v>7.1425390085662954E-2</v>
      </c>
      <c r="G89" s="38">
        <v>0.05</v>
      </c>
      <c r="H89" s="38">
        <v>4.4999999999999998E-2</v>
      </c>
      <c r="I89" s="38">
        <v>0.04</v>
      </c>
      <c r="J89" s="38">
        <v>0.04</v>
      </c>
      <c r="K89" s="38">
        <v>3.5000000000000003E-2</v>
      </c>
      <c r="L89" s="38">
        <v>2.8000000000000001E-2</v>
      </c>
    </row>
    <row r="90" spans="1:12" ht="20" customHeight="1" x14ac:dyDescent="0.2">
      <c r="A90" s="10" t="s">
        <v>128</v>
      </c>
      <c r="B90" s="37">
        <v>2.7002827521206408E-2</v>
      </c>
      <c r="C90" s="37">
        <v>4.3379909516755417E-2</v>
      </c>
      <c r="D90" s="37">
        <v>4.0388210192405731E-2</v>
      </c>
      <c r="E90" s="37">
        <v>2.851966062126518E-2</v>
      </c>
      <c r="F90" s="37">
        <v>1.3614026752972965E-2</v>
      </c>
      <c r="G90" s="38">
        <v>0.01</v>
      </c>
      <c r="H90" s="38">
        <v>8.0000000000000002E-3</v>
      </c>
      <c r="I90" s="38">
        <v>8.0000000000000002E-3</v>
      </c>
      <c r="J90" s="38">
        <v>8.0000000000000002E-3</v>
      </c>
      <c r="K90" s="38">
        <v>5.0000000000000001E-3</v>
      </c>
      <c r="L90" s="38">
        <v>5.0000000000000001E-3</v>
      </c>
    </row>
    <row r="91" spans="1:12" ht="20" customHeight="1" x14ac:dyDescent="0.2">
      <c r="A91" s="10" t="s">
        <v>129</v>
      </c>
      <c r="B91" s="37">
        <v>-4.6819038642789822E-2</v>
      </c>
      <c r="C91" s="37">
        <v>1.0269447892060695E-2</v>
      </c>
      <c r="D91" s="37">
        <v>-9.2143275240271147E-3</v>
      </c>
      <c r="E91" s="37">
        <v>-2.6132859457481838E-2</v>
      </c>
      <c r="F91" s="37">
        <v>6.1389313657080925E-2</v>
      </c>
      <c r="G91" s="38">
        <v>-0.02</v>
      </c>
      <c r="H91" s="38">
        <v>-1.4999999999999999E-2</v>
      </c>
      <c r="I91" s="38">
        <v>-0.01</v>
      </c>
      <c r="J91" s="38">
        <v>-0.01</v>
      </c>
      <c r="K91" s="38">
        <v>-5.0000000000000001E-3</v>
      </c>
      <c r="L91" s="38">
        <v>-5.0000000000000001E-3</v>
      </c>
    </row>
    <row r="92" spans="1:12" ht="20" customHeight="1" x14ac:dyDescent="0.2">
      <c r="B92" s="33"/>
      <c r="C92" s="33"/>
      <c r="D92" s="33"/>
      <c r="E92" s="33"/>
      <c r="F92" s="33"/>
      <c r="G92" s="33"/>
      <c r="H92" s="33"/>
      <c r="I92" s="33"/>
    </row>
    <row r="101" spans="1:12" ht="20" customHeight="1" x14ac:dyDescent="0.3">
      <c r="A101" s="116" t="s">
        <v>154</v>
      </c>
      <c r="B101" s="116"/>
      <c r="C101" s="30"/>
      <c r="D101" s="30"/>
      <c r="E101" s="30"/>
      <c r="F101" s="31"/>
      <c r="G101" s="31"/>
      <c r="H101" s="31"/>
      <c r="I101" s="31"/>
      <c r="J101" s="1"/>
      <c r="K101" s="1"/>
    </row>
    <row r="102" spans="1:12" ht="20" customHeight="1" x14ac:dyDescent="0.3">
      <c r="A102" s="116"/>
      <c r="B102" s="116"/>
      <c r="C102" s="30"/>
      <c r="D102" s="30"/>
      <c r="E102" s="30"/>
      <c r="F102" s="31"/>
      <c r="G102" s="31"/>
      <c r="H102" s="31"/>
      <c r="I102" s="31"/>
      <c r="J102" s="1"/>
      <c r="K102" s="1"/>
    </row>
    <row r="103" spans="1:12" ht="20" customHeight="1" x14ac:dyDescent="0.3">
      <c r="F103" s="1"/>
      <c r="G103" s="1"/>
      <c r="H103" s="1"/>
      <c r="I103" s="1"/>
      <c r="J103" s="1"/>
      <c r="K103" s="1"/>
    </row>
    <row r="104" spans="1:12" ht="20" customHeight="1" x14ac:dyDescent="0.3">
      <c r="F104" s="1"/>
      <c r="G104" s="1"/>
      <c r="H104" s="1"/>
      <c r="I104" s="1"/>
      <c r="J104" s="1"/>
      <c r="K104" s="1"/>
    </row>
    <row r="105" spans="1:12" ht="20" customHeight="1" x14ac:dyDescent="0.3">
      <c r="F105" s="1"/>
      <c r="G105" s="1"/>
      <c r="H105" s="1"/>
      <c r="I105" s="1"/>
      <c r="J105" s="1"/>
      <c r="K105" s="1"/>
    </row>
    <row r="106" spans="1:12" ht="20" customHeight="1" x14ac:dyDescent="0.3">
      <c r="A106" s="1"/>
      <c r="B106" s="1" t="s">
        <v>111</v>
      </c>
      <c r="C106" s="1" t="s">
        <v>110</v>
      </c>
      <c r="D106" s="1" t="s">
        <v>109</v>
      </c>
      <c r="E106" s="1" t="s">
        <v>108</v>
      </c>
      <c r="F106" s="1" t="s">
        <v>112</v>
      </c>
      <c r="G106" s="40" t="s">
        <v>113</v>
      </c>
      <c r="H106" s="40" t="s">
        <v>114</v>
      </c>
      <c r="I106" s="40" t="s">
        <v>115</v>
      </c>
      <c r="J106" s="40" t="s">
        <v>130</v>
      </c>
      <c r="K106" s="40" t="s">
        <v>131</v>
      </c>
      <c r="L106" s="40" t="s">
        <v>132</v>
      </c>
    </row>
    <row r="107" spans="1:12" ht="20" customHeight="1" x14ac:dyDescent="0.3">
      <c r="A107" s="1"/>
      <c r="B107" s="32"/>
      <c r="C107" s="32"/>
      <c r="D107" s="32"/>
      <c r="E107" s="32"/>
      <c r="F107" s="32"/>
      <c r="G107" s="38"/>
      <c r="H107" s="38"/>
      <c r="I107" s="38"/>
      <c r="J107" s="40"/>
      <c r="K107" s="40"/>
      <c r="L107" s="40"/>
    </row>
    <row r="108" spans="1:12" ht="20" customHeight="1" x14ac:dyDescent="0.2">
      <c r="A108" s="10" t="s">
        <v>8</v>
      </c>
      <c r="B108" s="37"/>
      <c r="C108" s="37">
        <v>0.17704995287464653</v>
      </c>
      <c r="D108" s="37">
        <v>6.0195379749369504E-2</v>
      </c>
      <c r="E108" s="37">
        <v>8.3797511376295875E-2</v>
      </c>
      <c r="F108" s="37">
        <v>0.1734873429850694</v>
      </c>
      <c r="G108" s="38">
        <v>0.33500000000000002</v>
      </c>
      <c r="H108" s="38">
        <v>0.25</v>
      </c>
      <c r="I108" s="38">
        <v>0.2</v>
      </c>
      <c r="J108" s="38">
        <v>0.16</v>
      </c>
      <c r="K108" s="38">
        <v>0.16</v>
      </c>
      <c r="L108" s="38">
        <v>0.15</v>
      </c>
    </row>
    <row r="109" spans="1:12" ht="20" customHeight="1" x14ac:dyDescent="0.2">
      <c r="A109" s="10" t="s">
        <v>106</v>
      </c>
      <c r="B109" s="37">
        <v>0.25744580584354382</v>
      </c>
      <c r="C109" s="37">
        <v>0.26210113304239901</v>
      </c>
      <c r="D109" s="37">
        <v>0.28989256245161532</v>
      </c>
      <c r="E109" s="37">
        <v>0.30798445965957594</v>
      </c>
      <c r="F109" s="37">
        <v>0.30592217586887777</v>
      </c>
      <c r="G109" s="38">
        <v>0.315</v>
      </c>
      <c r="H109" s="38">
        <v>0.32</v>
      </c>
      <c r="I109" s="38">
        <v>0.32500000000000001</v>
      </c>
      <c r="J109" s="38">
        <v>0.33</v>
      </c>
      <c r="K109" s="38">
        <v>0.33</v>
      </c>
      <c r="L109" s="38">
        <v>0.33</v>
      </c>
    </row>
    <row r="110" spans="1:12" ht="20" customHeight="1" x14ac:dyDescent="0.2">
      <c r="A110" s="10" t="s">
        <v>107</v>
      </c>
      <c r="B110" s="37">
        <v>0.10629123468426013</v>
      </c>
      <c r="C110" s="37">
        <v>0.17406013532449854</v>
      </c>
      <c r="D110" s="37">
        <v>0.12964256717207001</v>
      </c>
      <c r="E110" s="37">
        <v>0.36960574226031812</v>
      </c>
      <c r="F110" s="37">
        <v>0.8263877547990558</v>
      </c>
      <c r="G110" s="38">
        <v>0.6</v>
      </c>
      <c r="H110" s="38">
        <v>0.45</v>
      </c>
      <c r="I110" s="38">
        <v>0.32</v>
      </c>
      <c r="J110" s="38">
        <v>0.25</v>
      </c>
      <c r="K110" s="38">
        <v>0.22</v>
      </c>
      <c r="L110" s="38">
        <v>0.2</v>
      </c>
    </row>
    <row r="111" spans="1:12" ht="20" customHeight="1" x14ac:dyDescent="0.2">
      <c r="A111" s="10" t="s">
        <v>116</v>
      </c>
      <c r="B111" s="37">
        <v>0.12184599294025363</v>
      </c>
      <c r="C111" s="37">
        <v>6.826649134341442E-2</v>
      </c>
      <c r="D111" s="37">
        <v>0.10850864491951281</v>
      </c>
      <c r="E111" s="37">
        <v>0.12125706214689265</v>
      </c>
      <c r="F111" s="37">
        <v>0.12616344481947428</v>
      </c>
      <c r="G111" s="38">
        <v>0.13</v>
      </c>
      <c r="H111" s="38">
        <v>0.13</v>
      </c>
      <c r="I111" s="38">
        <v>0.13</v>
      </c>
      <c r="J111" s="38">
        <v>0.13</v>
      </c>
      <c r="K111" s="38">
        <v>0.13</v>
      </c>
      <c r="L111" s="38">
        <v>0.13</v>
      </c>
    </row>
    <row r="112" spans="1:12" ht="20" customHeight="1" x14ac:dyDescent="0.2">
      <c r="A112" s="10" t="s">
        <v>117</v>
      </c>
      <c r="B112" s="37">
        <v>7.3562676720075396E-2</v>
      </c>
      <c r="C112" s="37">
        <v>0.12227249069143613</v>
      </c>
      <c r="D112" s="37">
        <v>0.11591548497951323</v>
      </c>
      <c r="E112" s="37">
        <v>0.10756284952699524</v>
      </c>
      <c r="F112" s="37">
        <v>0.13798120462609678</v>
      </c>
      <c r="G112" s="38">
        <v>0.09</v>
      </c>
      <c r="H112" s="38">
        <v>0.09</v>
      </c>
      <c r="I112" s="38">
        <v>0.08</v>
      </c>
      <c r="J112" s="38">
        <v>0.08</v>
      </c>
      <c r="K112" s="38">
        <v>7.0000000000000007E-2</v>
      </c>
      <c r="L112" s="38">
        <v>6.5000000000000002E-2</v>
      </c>
    </row>
    <row r="113" spans="1:12" ht="20" customHeight="1" x14ac:dyDescent="0.2">
      <c r="A113" s="10" t="s">
        <v>126</v>
      </c>
      <c r="B113" s="37">
        <v>6.4915174363807726E-2</v>
      </c>
      <c r="C113" s="37">
        <v>7.01645513872763E-2</v>
      </c>
      <c r="D113" s="37">
        <v>6.6350710900473939E-2</v>
      </c>
      <c r="E113" s="37">
        <v>6.2335580759246674E-2</v>
      </c>
      <c r="F113" s="37">
        <v>6.8277981501551441E-2</v>
      </c>
      <c r="G113" s="38">
        <v>6.8000000000000005E-2</v>
      </c>
      <c r="H113" s="38">
        <v>6.5000000000000002E-2</v>
      </c>
      <c r="I113" s="38">
        <v>6.2E-2</v>
      </c>
      <c r="J113" s="38">
        <v>6.3E-2</v>
      </c>
      <c r="K113" s="38">
        <v>0.06</v>
      </c>
      <c r="L113" s="38">
        <v>5.5E-2</v>
      </c>
    </row>
    <row r="114" spans="1:12" ht="20" customHeight="1" x14ac:dyDescent="0.2">
      <c r="A114" s="10" t="s">
        <v>127</v>
      </c>
      <c r="B114" s="37">
        <v>6.1569274269557023E-2</v>
      </c>
      <c r="C114" s="37">
        <v>7.1005324898906999E-2</v>
      </c>
      <c r="D114" s="37">
        <v>7.5036347500991293E-2</v>
      </c>
      <c r="E114" s="37">
        <v>8.1429990069513403E-2</v>
      </c>
      <c r="F114" s="37">
        <v>7.1425390085662954E-2</v>
      </c>
      <c r="G114" s="38">
        <v>0.05</v>
      </c>
      <c r="H114" s="38">
        <v>4.4999999999999998E-2</v>
      </c>
      <c r="I114" s="38">
        <v>0.04</v>
      </c>
      <c r="J114" s="38">
        <v>0.04</v>
      </c>
      <c r="K114" s="38">
        <v>3.5000000000000003E-2</v>
      </c>
      <c r="L114" s="38">
        <v>2.8000000000000001E-2</v>
      </c>
    </row>
    <row r="115" spans="1:12" ht="20" customHeight="1" x14ac:dyDescent="0.2">
      <c r="A115" s="10" t="s">
        <v>128</v>
      </c>
      <c r="B115" s="37">
        <v>2.7002827521206408E-2</v>
      </c>
      <c r="C115" s="37">
        <v>4.3379909516755417E-2</v>
      </c>
      <c r="D115" s="37">
        <v>4.0388210192405731E-2</v>
      </c>
      <c r="E115" s="37">
        <v>2.851966062126518E-2</v>
      </c>
      <c r="F115" s="37">
        <v>1.3614026752972965E-2</v>
      </c>
      <c r="G115" s="38">
        <v>0.01</v>
      </c>
      <c r="H115" s="38">
        <v>8.0000000000000002E-3</v>
      </c>
      <c r="I115" s="38">
        <v>6.0000000000000001E-3</v>
      </c>
      <c r="J115" s="38">
        <v>5.0000000000000001E-3</v>
      </c>
      <c r="K115" s="38">
        <v>5.0000000000000001E-3</v>
      </c>
      <c r="L115" s="38">
        <v>5.0000000000000001E-3</v>
      </c>
    </row>
    <row r="116" spans="1:12" ht="20" customHeight="1" x14ac:dyDescent="0.2">
      <c r="A116" s="10" t="s">
        <v>129</v>
      </c>
      <c r="B116" s="37">
        <v>-4.6819038642789822E-2</v>
      </c>
      <c r="C116" s="37">
        <v>1.0269447892060695E-2</v>
      </c>
      <c r="D116" s="37">
        <v>-9.2143275240271147E-3</v>
      </c>
      <c r="E116" s="37">
        <v>-2.6132859457481838E-2</v>
      </c>
      <c r="F116" s="37">
        <v>6.1389313657080925E-2</v>
      </c>
      <c r="G116" s="38">
        <v>-0.02</v>
      </c>
      <c r="H116" s="38">
        <v>-1.4999999999999999E-2</v>
      </c>
      <c r="I116" s="38">
        <v>-0.01</v>
      </c>
      <c r="J116" s="38">
        <v>-0.01</v>
      </c>
      <c r="K116" s="38">
        <v>-5.0000000000000001E-3</v>
      </c>
      <c r="L116" s="38">
        <v>-5.0000000000000001E-3</v>
      </c>
    </row>
    <row r="123" spans="1:12" ht="20" customHeight="1" x14ac:dyDescent="0.3">
      <c r="A123" s="116" t="s">
        <v>155</v>
      </c>
      <c r="B123" s="116"/>
      <c r="C123" s="30"/>
      <c r="D123" s="30"/>
      <c r="E123" s="30"/>
      <c r="F123" s="31"/>
      <c r="G123" s="31"/>
      <c r="H123" s="31"/>
      <c r="I123" s="31"/>
      <c r="J123" s="31"/>
      <c r="K123" s="31"/>
      <c r="L123" s="30"/>
    </row>
    <row r="124" spans="1:12" ht="20" customHeight="1" x14ac:dyDescent="0.3">
      <c r="A124" s="116"/>
      <c r="B124" s="116"/>
      <c r="C124" s="30"/>
      <c r="D124" s="30"/>
      <c r="E124" s="30"/>
      <c r="F124" s="31"/>
      <c r="G124" s="31"/>
      <c r="H124" s="31"/>
      <c r="I124" s="31"/>
      <c r="J124" s="31"/>
      <c r="K124" s="31"/>
      <c r="L124" s="30"/>
    </row>
    <row r="125" spans="1:12" ht="20" customHeight="1" x14ac:dyDescent="0.3">
      <c r="A125" s="30"/>
      <c r="B125" s="30"/>
      <c r="C125" s="30"/>
      <c r="D125" s="30"/>
      <c r="E125" s="30"/>
      <c r="F125" s="31"/>
      <c r="G125" s="31"/>
      <c r="H125" s="31"/>
      <c r="I125" s="31"/>
      <c r="J125" s="31"/>
      <c r="K125" s="31"/>
      <c r="L125" s="30"/>
    </row>
    <row r="126" spans="1:12" ht="20" customHeight="1" x14ac:dyDescent="0.3">
      <c r="A126" s="30"/>
      <c r="B126" s="30"/>
      <c r="C126" s="30"/>
      <c r="D126" s="30"/>
      <c r="E126" s="30"/>
      <c r="F126" s="31"/>
      <c r="G126" s="31"/>
      <c r="H126" s="31"/>
      <c r="I126" s="31"/>
      <c r="J126" s="31"/>
      <c r="K126" s="31"/>
      <c r="L126" s="30"/>
    </row>
    <row r="127" spans="1:12" ht="20" customHeight="1" x14ac:dyDescent="0.3">
      <c r="A127" s="30"/>
      <c r="B127" s="30"/>
      <c r="C127" s="30"/>
      <c r="D127" s="30"/>
      <c r="E127" s="30"/>
      <c r="F127" s="31"/>
      <c r="G127" s="31"/>
      <c r="H127" s="31"/>
      <c r="I127" s="31"/>
      <c r="J127" s="31"/>
      <c r="K127" s="31"/>
      <c r="L127" s="30"/>
    </row>
    <row r="128" spans="1:12" ht="20" customHeight="1" x14ac:dyDescent="0.3">
      <c r="A128" s="31"/>
      <c r="B128" s="31" t="s">
        <v>111</v>
      </c>
      <c r="C128" s="31" t="s">
        <v>110</v>
      </c>
      <c r="D128" s="31" t="s">
        <v>109</v>
      </c>
      <c r="E128" s="31" t="s">
        <v>108</v>
      </c>
      <c r="F128" s="31" t="s">
        <v>112</v>
      </c>
      <c r="G128" s="52" t="s">
        <v>113</v>
      </c>
      <c r="H128" s="52" t="s">
        <v>114</v>
      </c>
      <c r="I128" s="52" t="s">
        <v>115</v>
      </c>
      <c r="J128" s="52" t="s">
        <v>130</v>
      </c>
      <c r="K128" s="52" t="s">
        <v>131</v>
      </c>
      <c r="L128" s="52" t="s">
        <v>132</v>
      </c>
    </row>
    <row r="129" spans="1:12" ht="20" customHeight="1" x14ac:dyDescent="0.3">
      <c r="A129" s="31"/>
      <c r="B129" s="53"/>
      <c r="C129" s="53"/>
      <c r="D129" s="53"/>
      <c r="E129" s="53"/>
      <c r="F129" s="53"/>
      <c r="G129" s="54"/>
      <c r="H129" s="54"/>
      <c r="I129" s="54"/>
      <c r="J129" s="52"/>
      <c r="K129" s="52"/>
      <c r="L129" s="52"/>
    </row>
    <row r="130" spans="1:12" ht="20" customHeight="1" x14ac:dyDescent="0.2">
      <c r="A130" s="55" t="s">
        <v>8</v>
      </c>
      <c r="B130" s="56"/>
      <c r="C130" s="56">
        <v>0.17699999999999999</v>
      </c>
      <c r="D130" s="56">
        <v>6.0199999999999997E-2</v>
      </c>
      <c r="E130" s="56">
        <v>8.3799999999999999E-2</v>
      </c>
      <c r="F130" s="56">
        <v>0.17349999999999999</v>
      </c>
      <c r="G130" s="54">
        <v>0.25</v>
      </c>
      <c r="H130" s="54">
        <v>0.18</v>
      </c>
      <c r="I130" s="54">
        <v>0.16</v>
      </c>
      <c r="J130" s="54">
        <v>0.15</v>
      </c>
      <c r="K130" s="54">
        <v>0.1</v>
      </c>
      <c r="L130" s="54">
        <v>0.1</v>
      </c>
    </row>
    <row r="131" spans="1:12" ht="20" customHeight="1" x14ac:dyDescent="0.2">
      <c r="A131" s="55" t="s">
        <v>106</v>
      </c>
      <c r="B131" s="56">
        <v>0.25740000000000002</v>
      </c>
      <c r="C131" s="56">
        <v>0.2621</v>
      </c>
      <c r="D131" s="56">
        <v>0.28989999999999999</v>
      </c>
      <c r="E131" s="56">
        <v>0.308</v>
      </c>
      <c r="F131" s="56">
        <v>0.30590000000000001</v>
      </c>
      <c r="G131" s="54">
        <v>0.28999999999999998</v>
      </c>
      <c r="H131" s="54">
        <v>0.28999999999999998</v>
      </c>
      <c r="I131" s="54">
        <v>0.29499999999999998</v>
      </c>
      <c r="J131" s="54">
        <v>0.3</v>
      </c>
      <c r="K131" s="54">
        <v>0.3</v>
      </c>
      <c r="L131" s="54">
        <v>0.3</v>
      </c>
    </row>
    <row r="132" spans="1:12" ht="20" customHeight="1" x14ac:dyDescent="0.2">
      <c r="A132" s="55" t="s">
        <v>107</v>
      </c>
      <c r="B132" s="56">
        <v>0.10630000000000001</v>
      </c>
      <c r="C132" s="56">
        <v>0.1741</v>
      </c>
      <c r="D132" s="56">
        <v>0.12959999999999999</v>
      </c>
      <c r="E132" s="56">
        <v>0.36959999999999998</v>
      </c>
      <c r="F132" s="56">
        <v>0.82640000000000002</v>
      </c>
      <c r="G132" s="54">
        <v>0.65</v>
      </c>
      <c r="H132" s="54">
        <v>0.5</v>
      </c>
      <c r="I132" s="54">
        <v>0.35</v>
      </c>
      <c r="J132" s="54">
        <v>0.28000000000000003</v>
      </c>
      <c r="K132" s="54">
        <v>0.24</v>
      </c>
      <c r="L132" s="54">
        <v>0.22</v>
      </c>
    </row>
    <row r="133" spans="1:12" ht="20" customHeight="1" x14ac:dyDescent="0.2">
      <c r="A133" s="55" t="s">
        <v>116</v>
      </c>
      <c r="B133" s="56">
        <v>0.12180000000000001</v>
      </c>
      <c r="C133" s="56">
        <v>6.83E-2</v>
      </c>
      <c r="D133" s="56">
        <v>0.1085</v>
      </c>
      <c r="E133" s="56">
        <v>0.12130000000000001</v>
      </c>
      <c r="F133" s="56">
        <v>0.12620000000000001</v>
      </c>
      <c r="G133" s="54">
        <v>0.13</v>
      </c>
      <c r="H133" s="54">
        <v>0.13</v>
      </c>
      <c r="I133" s="54">
        <v>0.13</v>
      </c>
      <c r="J133" s="54">
        <v>0.13</v>
      </c>
      <c r="K133" s="54">
        <v>0.13</v>
      </c>
      <c r="L133" s="54">
        <v>0.13</v>
      </c>
    </row>
    <row r="134" spans="1:12" ht="20" customHeight="1" x14ac:dyDescent="0.2">
      <c r="A134" s="55" t="s">
        <v>117</v>
      </c>
      <c r="B134" s="56">
        <v>7.3599999999999999E-2</v>
      </c>
      <c r="C134" s="56">
        <v>0.12230000000000001</v>
      </c>
      <c r="D134" s="56">
        <v>0.1159</v>
      </c>
      <c r="E134" s="56">
        <v>0.1076</v>
      </c>
      <c r="F134" s="56">
        <v>0.13800000000000001</v>
      </c>
      <c r="G134" s="54">
        <v>0.1</v>
      </c>
      <c r="H134" s="54">
        <v>0.1</v>
      </c>
      <c r="I134" s="54">
        <v>0.08</v>
      </c>
      <c r="J134" s="54">
        <v>0.08</v>
      </c>
      <c r="K134" s="54">
        <v>7.0000000000000007E-2</v>
      </c>
      <c r="L134" s="54">
        <v>6.5000000000000002E-2</v>
      </c>
    </row>
    <row r="135" spans="1:12" ht="20" customHeight="1" x14ac:dyDescent="0.2">
      <c r="A135" s="55" t="s">
        <v>126</v>
      </c>
      <c r="B135" s="56">
        <v>6.4899999999999999E-2</v>
      </c>
      <c r="C135" s="56">
        <v>7.0199999999999999E-2</v>
      </c>
      <c r="D135" s="56">
        <v>6.6400000000000001E-2</v>
      </c>
      <c r="E135" s="56">
        <v>6.2300000000000001E-2</v>
      </c>
      <c r="F135" s="56">
        <v>6.83E-2</v>
      </c>
      <c r="G135" s="54">
        <v>6.8000000000000005E-2</v>
      </c>
      <c r="H135" s="54">
        <v>6.5000000000000002E-2</v>
      </c>
      <c r="I135" s="54">
        <v>6.2E-2</v>
      </c>
      <c r="J135" s="54">
        <v>6.3E-2</v>
      </c>
      <c r="K135" s="54">
        <v>0.06</v>
      </c>
      <c r="L135" s="54">
        <v>5.5E-2</v>
      </c>
    </row>
    <row r="136" spans="1:12" ht="20" customHeight="1" x14ac:dyDescent="0.2">
      <c r="A136" s="55" t="s">
        <v>127</v>
      </c>
      <c r="B136" s="56">
        <v>6.1600000000000002E-2</v>
      </c>
      <c r="C136" s="56">
        <v>7.0999999999999994E-2</v>
      </c>
      <c r="D136" s="56">
        <v>7.4999999999999997E-2</v>
      </c>
      <c r="E136" s="56">
        <v>8.14E-2</v>
      </c>
      <c r="F136" s="56">
        <v>7.1400000000000005E-2</v>
      </c>
      <c r="G136" s="54">
        <v>0.05</v>
      </c>
      <c r="H136" s="54">
        <v>4.4999999999999998E-2</v>
      </c>
      <c r="I136" s="54">
        <v>0.04</v>
      </c>
      <c r="J136" s="54">
        <v>0.04</v>
      </c>
      <c r="K136" s="54">
        <v>3.5000000000000003E-2</v>
      </c>
      <c r="L136" s="54">
        <v>2.8000000000000001E-2</v>
      </c>
    </row>
    <row r="137" spans="1:12" ht="20" customHeight="1" x14ac:dyDescent="0.2">
      <c r="A137" s="55" t="s">
        <v>128</v>
      </c>
      <c r="B137" s="56">
        <v>2.7E-2</v>
      </c>
      <c r="C137" s="56">
        <v>4.3400000000000001E-2</v>
      </c>
      <c r="D137" s="56">
        <v>4.0399999999999998E-2</v>
      </c>
      <c r="E137" s="56">
        <v>2.8500000000000001E-2</v>
      </c>
      <c r="F137" s="56">
        <v>1.3599999999999999E-2</v>
      </c>
      <c r="G137" s="54">
        <v>0.01</v>
      </c>
      <c r="H137" s="54">
        <v>8.0000000000000002E-3</v>
      </c>
      <c r="I137" s="54">
        <v>8.0000000000000002E-3</v>
      </c>
      <c r="J137" s="54">
        <v>8.0000000000000002E-3</v>
      </c>
      <c r="K137" s="54">
        <v>5.0000000000000001E-3</v>
      </c>
      <c r="L137" s="54">
        <v>5.0000000000000001E-3</v>
      </c>
    </row>
    <row r="138" spans="1:12" ht="20" customHeight="1" x14ac:dyDescent="0.2">
      <c r="A138" s="55" t="s">
        <v>129</v>
      </c>
      <c r="B138" s="56">
        <v>-4.6800000000000001E-2</v>
      </c>
      <c r="C138" s="56">
        <v>1.03E-2</v>
      </c>
      <c r="D138" s="56">
        <v>-9.1999999999999998E-3</v>
      </c>
      <c r="E138" s="56">
        <v>-2.6100000000000002E-2</v>
      </c>
      <c r="F138" s="56">
        <v>6.1400000000000003E-2</v>
      </c>
      <c r="G138" s="54">
        <v>-0.02</v>
      </c>
      <c r="H138" s="54">
        <v>-1.4999999999999999E-2</v>
      </c>
      <c r="I138" s="54">
        <v>-0.01</v>
      </c>
      <c r="J138" s="54">
        <v>-0.01</v>
      </c>
      <c r="K138" s="54">
        <v>-5.0000000000000001E-3</v>
      </c>
      <c r="L138" s="54">
        <v>-5.0000000000000001E-3</v>
      </c>
    </row>
  </sheetData>
  <mergeCells count="7">
    <mergeCell ref="A123:B124"/>
    <mergeCell ref="N2:P5"/>
    <mergeCell ref="N27:P30"/>
    <mergeCell ref="N49:P52"/>
    <mergeCell ref="A1:E8"/>
    <mergeCell ref="A76:B77"/>
    <mergeCell ref="A101:B102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2BFB3-ED1C-F942-A8B3-D7D598CC5EEA}">
  <dimension ref="A1"/>
  <sheetViews>
    <sheetView zoomScale="36" zoomScaleNormal="75" workbookViewId="0">
      <selection activeCell="AC100" sqref="AC100"/>
    </sheetView>
  </sheetViews>
  <sheetFormatPr baseColWidth="10" defaultRowHeight="14" x14ac:dyDescent="0.2"/>
  <sheetData/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F467F-0FC3-994E-8422-899C63D202ED}">
  <dimension ref="A1:AB76"/>
  <sheetViews>
    <sheetView zoomScale="39" zoomScaleNormal="44" workbookViewId="0">
      <selection activeCell="H25" sqref="H25"/>
    </sheetView>
  </sheetViews>
  <sheetFormatPr baseColWidth="10" defaultColWidth="21" defaultRowHeight="30" customHeight="1" x14ac:dyDescent="0.2"/>
  <cols>
    <col min="1" max="1" width="31" customWidth="1"/>
    <col min="6" max="6" width="25.19921875" bestFit="1" customWidth="1"/>
    <col min="9" max="9" width="26.796875" bestFit="1" customWidth="1"/>
  </cols>
  <sheetData>
    <row r="1" spans="1:21" ht="30" customHeight="1" x14ac:dyDescent="0.2">
      <c r="O1" s="79"/>
    </row>
    <row r="2" spans="1:21" ht="30" customHeight="1" x14ac:dyDescent="0.2">
      <c r="A2" s="116" t="s">
        <v>133</v>
      </c>
      <c r="B2" s="116"/>
      <c r="C2" s="116"/>
      <c r="D2" s="116"/>
      <c r="E2" s="62"/>
      <c r="F2" s="62"/>
      <c r="G2" s="62"/>
      <c r="H2" s="45"/>
      <c r="I2" s="128" t="s">
        <v>161</v>
      </c>
      <c r="J2" s="128"/>
      <c r="K2" s="128"/>
      <c r="L2" s="128"/>
      <c r="M2" s="128"/>
      <c r="N2" s="128"/>
      <c r="P2" s="79"/>
      <c r="Q2" s="79"/>
      <c r="R2" s="41"/>
      <c r="S2" s="41"/>
      <c r="T2" s="41"/>
      <c r="U2" s="41"/>
    </row>
    <row r="3" spans="1:21" ht="30" customHeight="1" x14ac:dyDescent="0.2">
      <c r="A3" s="116"/>
      <c r="B3" s="116"/>
      <c r="C3" s="116"/>
      <c r="D3" s="116"/>
      <c r="E3" s="62"/>
      <c r="F3" s="62"/>
      <c r="G3" s="62"/>
      <c r="H3" s="45"/>
      <c r="I3" s="128"/>
      <c r="J3" s="128"/>
      <c r="K3" s="128"/>
      <c r="L3" s="128"/>
      <c r="M3" s="128"/>
      <c r="N3" s="128"/>
      <c r="P3" s="79"/>
      <c r="Q3" s="79"/>
      <c r="R3" s="41"/>
      <c r="S3" s="41"/>
      <c r="T3" s="41"/>
      <c r="U3" s="41"/>
    </row>
    <row r="4" spans="1:21" ht="30" customHeight="1" x14ac:dyDescent="0.2">
      <c r="A4" s="116"/>
      <c r="B4" s="116"/>
      <c r="C4" s="116"/>
      <c r="D4" s="116"/>
      <c r="E4" s="62"/>
      <c r="F4" s="62"/>
      <c r="G4" s="62"/>
      <c r="I4" s="128"/>
      <c r="J4" s="128"/>
      <c r="K4" s="128"/>
      <c r="L4" s="128"/>
      <c r="M4" s="128"/>
      <c r="N4" s="128"/>
      <c r="P4" s="79"/>
      <c r="Q4" s="79"/>
      <c r="R4" s="41"/>
      <c r="S4" s="41"/>
      <c r="T4" s="41"/>
      <c r="U4" s="41"/>
    </row>
    <row r="5" spans="1:21" ht="30" customHeight="1" x14ac:dyDescent="0.2">
      <c r="A5" s="10" t="s">
        <v>134</v>
      </c>
      <c r="B5" s="37">
        <v>4.4999999999999998E-2</v>
      </c>
      <c r="C5" s="37"/>
      <c r="D5" s="37"/>
      <c r="E5" s="45"/>
      <c r="I5" s="128"/>
      <c r="J5" s="128"/>
      <c r="K5" s="128"/>
      <c r="L5" s="128"/>
      <c r="M5" s="128"/>
      <c r="N5" s="128"/>
      <c r="P5" s="79"/>
      <c r="Q5" s="79"/>
      <c r="R5" s="41"/>
      <c r="S5" s="41"/>
      <c r="T5" s="41"/>
      <c r="U5" s="41"/>
    </row>
    <row r="6" spans="1:21" ht="30" customHeight="1" x14ac:dyDescent="0.2">
      <c r="A6" s="10" t="s">
        <v>135</v>
      </c>
      <c r="B6" s="37">
        <v>5.5E-2</v>
      </c>
      <c r="C6" s="37"/>
      <c r="D6" s="37"/>
      <c r="E6" s="45"/>
      <c r="I6" s="128"/>
      <c r="J6" s="128"/>
      <c r="K6" s="128"/>
      <c r="L6" s="128"/>
      <c r="M6" s="128"/>
      <c r="N6" s="128"/>
      <c r="O6" s="79"/>
      <c r="P6" s="79"/>
      <c r="Q6" s="79"/>
      <c r="R6" s="41"/>
      <c r="S6" s="41"/>
      <c r="T6" s="41"/>
      <c r="U6" s="41"/>
    </row>
    <row r="7" spans="1:21" ht="30" customHeight="1" x14ac:dyDescent="0.2">
      <c r="A7" s="10" t="s">
        <v>136</v>
      </c>
      <c r="B7" s="47">
        <v>1.25</v>
      </c>
      <c r="C7" s="37"/>
      <c r="D7" s="37"/>
      <c r="E7" s="63"/>
      <c r="F7" s="63"/>
      <c r="G7" s="63"/>
      <c r="H7" s="45"/>
      <c r="I7" s="128"/>
      <c r="J7" s="128"/>
      <c r="K7" s="128"/>
      <c r="L7" s="128"/>
      <c r="M7" s="128"/>
      <c r="N7" s="128"/>
      <c r="O7" s="79"/>
      <c r="P7" s="79"/>
      <c r="Q7" s="79"/>
      <c r="R7" s="41"/>
      <c r="S7" s="41"/>
      <c r="T7" s="41"/>
      <c r="U7" s="41"/>
    </row>
    <row r="8" spans="1:21" ht="30" customHeight="1" x14ac:dyDescent="0.2">
      <c r="A8" s="10" t="s">
        <v>137</v>
      </c>
      <c r="B8" s="37">
        <v>0.11375</v>
      </c>
      <c r="C8" s="37"/>
      <c r="D8" s="37"/>
      <c r="E8" s="63"/>
      <c r="F8" s="63"/>
      <c r="G8" s="63"/>
      <c r="H8" s="45"/>
      <c r="I8" s="128"/>
      <c r="J8" s="128"/>
      <c r="K8" s="128"/>
      <c r="L8" s="128"/>
      <c r="M8" s="128"/>
      <c r="N8" s="128"/>
      <c r="O8" s="79"/>
      <c r="P8" s="79"/>
      <c r="Q8" s="79"/>
      <c r="R8" s="41"/>
      <c r="S8" s="41"/>
      <c r="T8" s="41"/>
      <c r="U8" s="41"/>
    </row>
    <row r="9" spans="1:21" ht="30" customHeight="1" x14ac:dyDescent="0.2">
      <c r="A9" s="10" t="s">
        <v>138</v>
      </c>
      <c r="B9" s="37">
        <v>5.5E-2</v>
      </c>
      <c r="C9" s="37"/>
      <c r="D9" s="37"/>
      <c r="E9" s="63"/>
      <c r="F9" s="63"/>
      <c r="G9" s="63"/>
      <c r="H9" s="45"/>
      <c r="I9" s="128"/>
      <c r="J9" s="128"/>
      <c r="K9" s="128"/>
      <c r="L9" s="128"/>
      <c r="M9" s="128"/>
      <c r="N9" s="128"/>
      <c r="O9" s="79"/>
      <c r="P9" s="79"/>
      <c r="Q9" s="79"/>
      <c r="R9" s="41"/>
      <c r="S9" s="41"/>
      <c r="T9" s="41"/>
      <c r="U9" s="41"/>
    </row>
    <row r="10" spans="1:21" ht="30" customHeight="1" x14ac:dyDescent="0.2">
      <c r="A10" s="10" t="s">
        <v>116</v>
      </c>
      <c r="B10" s="37">
        <v>0.13</v>
      </c>
      <c r="C10" s="37"/>
      <c r="D10" s="37"/>
      <c r="E10" s="45"/>
      <c r="F10" s="45"/>
      <c r="G10" s="45"/>
      <c r="H10" s="45"/>
      <c r="I10" s="128"/>
      <c r="J10" s="128"/>
      <c r="K10" s="128"/>
      <c r="L10" s="128"/>
      <c r="M10" s="128"/>
      <c r="N10" s="128"/>
      <c r="O10" s="79"/>
      <c r="P10" s="79"/>
      <c r="Q10" s="79"/>
      <c r="R10" s="41"/>
      <c r="S10" s="41"/>
      <c r="T10" s="41"/>
      <c r="U10" s="41"/>
    </row>
    <row r="11" spans="1:21" ht="30" customHeight="1" x14ac:dyDescent="0.2">
      <c r="A11" s="10" t="s">
        <v>139</v>
      </c>
      <c r="B11" s="37">
        <v>4.7849999999999997E-2</v>
      </c>
      <c r="C11" s="37"/>
      <c r="D11" s="37"/>
      <c r="E11" s="45"/>
      <c r="F11" s="45"/>
      <c r="G11" s="45"/>
      <c r="H11" s="45"/>
      <c r="I11" s="128"/>
      <c r="J11" s="128"/>
      <c r="K11" s="128"/>
      <c r="L11" s="128"/>
      <c r="M11" s="128"/>
      <c r="N11" s="128"/>
      <c r="O11" s="79"/>
      <c r="P11" s="79"/>
      <c r="Q11" s="79"/>
      <c r="R11" s="41"/>
      <c r="S11" s="41"/>
      <c r="T11" s="41"/>
      <c r="U11" s="41"/>
    </row>
    <row r="12" spans="1:21" ht="30" customHeight="1" x14ac:dyDescent="0.2">
      <c r="A12" s="10" t="s">
        <v>140</v>
      </c>
      <c r="B12" s="37">
        <v>0.8</v>
      </c>
      <c r="C12" s="37"/>
      <c r="D12" s="37"/>
      <c r="E12" s="45"/>
      <c r="F12" s="74" t="s">
        <v>147</v>
      </c>
      <c r="G12" s="74">
        <f>'Historical Financials'!E49+'Historical Financials'!E55-'Historical Financials'!G112</f>
        <v>98252</v>
      </c>
      <c r="H12" s="45"/>
      <c r="I12" s="78"/>
      <c r="J12" s="78"/>
      <c r="K12" s="78"/>
      <c r="L12" s="78"/>
      <c r="M12" s="78"/>
      <c r="N12" s="79"/>
      <c r="O12" s="79"/>
      <c r="P12" s="79"/>
      <c r="Q12" s="79"/>
      <c r="R12" s="41"/>
      <c r="S12" s="41"/>
      <c r="T12" s="41"/>
      <c r="U12" s="41"/>
    </row>
    <row r="13" spans="1:21" ht="30" customHeight="1" x14ac:dyDescent="0.2">
      <c r="A13" s="10" t="s">
        <v>141</v>
      </c>
      <c r="B13" s="37">
        <v>0.2</v>
      </c>
      <c r="C13" s="37"/>
      <c r="D13" s="37"/>
      <c r="E13" s="45"/>
      <c r="F13" s="74" t="s">
        <v>148</v>
      </c>
      <c r="G13" s="74">
        <f>'Historical Financials'!G103</f>
        <v>4954</v>
      </c>
      <c r="H13" s="45"/>
      <c r="I13" s="79"/>
      <c r="J13" s="79"/>
      <c r="K13" s="79"/>
      <c r="L13" s="79"/>
      <c r="M13" s="79"/>
      <c r="N13" s="79"/>
      <c r="O13" s="79"/>
      <c r="P13" s="79"/>
      <c r="Q13" s="79"/>
      <c r="R13" s="41"/>
      <c r="S13" s="41"/>
      <c r="T13" s="41"/>
      <c r="U13" s="41"/>
    </row>
    <row r="14" spans="1:21" ht="30" customHeight="1" x14ac:dyDescent="0.2">
      <c r="A14" s="10"/>
      <c r="B14" s="37"/>
      <c r="C14" s="37"/>
      <c r="D14" s="37"/>
      <c r="E14" s="50"/>
      <c r="F14" s="74" t="s">
        <v>38</v>
      </c>
      <c r="G14" s="75">
        <v>2866</v>
      </c>
      <c r="H14" s="45"/>
      <c r="I14" s="79"/>
      <c r="J14" s="79"/>
      <c r="K14" s="79"/>
      <c r="L14" s="79"/>
      <c r="M14" s="79"/>
      <c r="N14" s="79"/>
      <c r="O14" s="79"/>
      <c r="P14" s="79"/>
      <c r="Q14" s="79"/>
      <c r="R14" s="41"/>
      <c r="S14" s="41"/>
      <c r="T14" s="41"/>
      <c r="U14" s="41"/>
    </row>
    <row r="15" spans="1:21" ht="30" customHeight="1" x14ac:dyDescent="0.2">
      <c r="A15" s="46" t="s">
        <v>142</v>
      </c>
      <c r="B15" s="37">
        <f>B13*B9*(1-B10)+B12*(B5+B7*B6)</f>
        <v>0.10057000000000001</v>
      </c>
      <c r="C15" s="37"/>
      <c r="D15" s="37"/>
      <c r="E15" s="45"/>
      <c r="G15" s="45"/>
      <c r="H15" s="45"/>
      <c r="I15" s="79"/>
      <c r="J15" s="79"/>
      <c r="K15" s="79"/>
      <c r="L15" s="79"/>
      <c r="M15" s="79"/>
      <c r="N15" s="79"/>
      <c r="O15" s="79"/>
      <c r="P15" s="79"/>
      <c r="Q15" s="79"/>
      <c r="R15" s="41"/>
      <c r="S15" s="41"/>
      <c r="T15" s="41"/>
      <c r="U15" s="41"/>
    </row>
    <row r="16" spans="1:21" ht="30" customHeight="1" x14ac:dyDescent="0.2">
      <c r="A16" s="11" t="s">
        <v>143</v>
      </c>
      <c r="B16" s="37">
        <v>0.04</v>
      </c>
      <c r="C16" s="37">
        <v>3.5000000000000003E-2</v>
      </c>
      <c r="D16" s="37">
        <v>0.03</v>
      </c>
      <c r="E16" s="45"/>
      <c r="F16" s="45"/>
      <c r="G16" s="45"/>
      <c r="H16" s="45"/>
      <c r="I16" s="79"/>
      <c r="J16" s="79"/>
      <c r="K16" s="79"/>
      <c r="L16" s="79"/>
      <c r="M16" s="79"/>
      <c r="N16" s="79"/>
      <c r="O16" s="79"/>
      <c r="P16" s="79"/>
      <c r="Q16" s="79"/>
      <c r="R16" s="41"/>
      <c r="S16" s="41"/>
      <c r="T16" s="41"/>
      <c r="U16" s="41"/>
    </row>
    <row r="17" spans="1:28" ht="30" customHeight="1" x14ac:dyDescent="0.2">
      <c r="A17" s="10"/>
      <c r="B17" s="37" t="s">
        <v>156</v>
      </c>
      <c r="C17" s="37" t="s">
        <v>157</v>
      </c>
      <c r="D17" s="37" t="s">
        <v>158</v>
      </c>
      <c r="E17" s="45"/>
      <c r="F17" s="45"/>
      <c r="G17" s="45"/>
      <c r="H17" s="45"/>
      <c r="I17" s="79"/>
      <c r="J17" s="79"/>
      <c r="K17" s="79"/>
      <c r="L17" s="79"/>
      <c r="M17" s="79"/>
      <c r="N17" s="79"/>
      <c r="O17" s="79"/>
      <c r="P17" s="79"/>
      <c r="Q17" s="79"/>
      <c r="R17" s="41"/>
      <c r="S17" s="41"/>
      <c r="T17" s="41"/>
      <c r="U17" s="41"/>
    </row>
    <row r="18" spans="1:28" ht="30" customHeight="1" x14ac:dyDescent="0.2">
      <c r="B18" s="41"/>
      <c r="C18" s="41"/>
      <c r="D18" s="41"/>
      <c r="E18" s="41"/>
      <c r="F18" s="41"/>
      <c r="G18" s="41"/>
      <c r="H18" s="41"/>
      <c r="I18" s="79"/>
      <c r="J18" s="79"/>
      <c r="K18" s="79"/>
      <c r="L18" s="79"/>
      <c r="M18" s="79"/>
      <c r="N18" s="79"/>
      <c r="O18" s="79"/>
      <c r="P18" s="79"/>
      <c r="Q18" s="79"/>
      <c r="R18" s="41"/>
      <c r="S18" s="41"/>
      <c r="T18" s="41"/>
      <c r="U18" s="41"/>
    </row>
    <row r="19" spans="1:28" ht="30" customHeight="1" x14ac:dyDescent="0.2"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</row>
    <row r="20" spans="1:28" ht="30" customHeight="1" x14ac:dyDescent="0.35">
      <c r="A20" s="109" t="s">
        <v>153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</row>
    <row r="21" spans="1:28" ht="30" customHeight="1" x14ac:dyDescent="0.3">
      <c r="A21" s="1"/>
      <c r="B21" s="27" t="s">
        <v>122</v>
      </c>
      <c r="C21" s="71" t="s">
        <v>119</v>
      </c>
      <c r="D21" s="71" t="s">
        <v>120</v>
      </c>
      <c r="E21" s="71" t="s">
        <v>121</v>
      </c>
      <c r="F21" s="72" t="s">
        <v>130</v>
      </c>
      <c r="G21" s="72" t="s">
        <v>131</v>
      </c>
      <c r="H21" s="72" t="s">
        <v>132</v>
      </c>
      <c r="I21" s="45" t="s">
        <v>144</v>
      </c>
      <c r="J21" s="44"/>
      <c r="K21" s="44"/>
      <c r="L21" s="44"/>
      <c r="M21" s="41"/>
      <c r="N21" s="41"/>
      <c r="O21" s="41"/>
      <c r="P21" s="41"/>
      <c r="Q21" s="41"/>
      <c r="R21" s="41"/>
      <c r="S21" s="41"/>
      <c r="T21" s="41"/>
      <c r="U21" s="41"/>
    </row>
    <row r="22" spans="1:28" ht="30" customHeight="1" x14ac:dyDescent="0.3">
      <c r="A22" s="25" t="s">
        <v>123</v>
      </c>
      <c r="B22" s="49">
        <v>67357</v>
      </c>
      <c r="C22" s="68">
        <v>94299.799999999988</v>
      </c>
      <c r="D22" s="68">
        <v>125418.734</v>
      </c>
      <c r="E22" s="68">
        <v>163044.3542</v>
      </c>
      <c r="F22" s="68">
        <v>211957.66046000001</v>
      </c>
      <c r="G22" s="68">
        <v>275544.95859800006</v>
      </c>
      <c r="H22" s="68">
        <v>349942.09741946007</v>
      </c>
      <c r="I22" s="48">
        <f>H27*(1+B16)/(B15-B16)</f>
        <v>1036666.5743812436</v>
      </c>
      <c r="J22" s="48"/>
      <c r="K22" s="48"/>
      <c r="L22" s="44"/>
      <c r="M22" s="41"/>
      <c r="N22" s="116" t="s">
        <v>145</v>
      </c>
      <c r="O22" s="116"/>
      <c r="P22" s="116"/>
      <c r="Q22" s="126">
        <f>NPV(B15,C28:H28)</f>
        <v>670630.67454587424</v>
      </c>
      <c r="R22" s="127"/>
      <c r="S22" s="127"/>
      <c r="T22" s="41"/>
      <c r="U22" s="41"/>
    </row>
    <row r="23" spans="1:28" ht="30" customHeight="1" x14ac:dyDescent="0.3">
      <c r="A23" s="25" t="s">
        <v>124</v>
      </c>
      <c r="B23" s="49">
        <v>20606</v>
      </c>
      <c r="C23" s="68">
        <v>32061.931999999997</v>
      </c>
      <c r="D23" s="68">
        <v>43896.556899999996</v>
      </c>
      <c r="E23" s="68">
        <v>57065.523969999995</v>
      </c>
      <c r="F23" s="68">
        <v>76304.757765600007</v>
      </c>
      <c r="G23" s="68">
        <v>96440.735509300008</v>
      </c>
      <c r="H23" s="68">
        <v>118980.31312261643</v>
      </c>
      <c r="I23" s="48"/>
      <c r="J23" s="48"/>
      <c r="K23" s="48"/>
      <c r="L23" s="44"/>
      <c r="M23" s="41"/>
      <c r="N23" s="116"/>
      <c r="O23" s="116"/>
      <c r="P23" s="116"/>
      <c r="Q23" s="127"/>
      <c r="R23" s="127"/>
      <c r="S23" s="127"/>
      <c r="T23" s="41"/>
      <c r="U23" s="41"/>
    </row>
    <row r="24" spans="1:28" ht="30" customHeight="1" x14ac:dyDescent="0.3">
      <c r="A24" s="25" t="s">
        <v>30</v>
      </c>
      <c r="B24" s="49">
        <v>17087</v>
      </c>
      <c r="C24" s="68">
        <v>25997.096942879998</v>
      </c>
      <c r="D24" s="68">
        <v>35707.654210305001</v>
      </c>
      <c r="E24" s="68">
        <v>46568.891490958194</v>
      </c>
      <c r="F24" s="68">
        <v>62202.875482939482</v>
      </c>
      <c r="G24" s="68">
        <v>78869.233499505543</v>
      </c>
      <c r="H24" s="68">
        <v>97819.664433759099</v>
      </c>
      <c r="I24" s="48"/>
      <c r="J24" s="42" t="s">
        <v>151</v>
      </c>
      <c r="K24" s="42"/>
      <c r="L24" s="76">
        <v>25</v>
      </c>
      <c r="M24" s="59"/>
      <c r="N24" s="116"/>
      <c r="O24" s="116"/>
      <c r="P24" s="116"/>
      <c r="Q24" s="127"/>
      <c r="R24" s="127"/>
      <c r="S24" s="127"/>
      <c r="T24" s="41"/>
      <c r="U24" s="41"/>
    </row>
    <row r="25" spans="1:28" ht="30" customHeight="1" x14ac:dyDescent="0.3">
      <c r="A25" s="25" t="s">
        <v>125</v>
      </c>
      <c r="B25" s="49">
        <v>31977</v>
      </c>
      <c r="C25" s="68">
        <v>38256.070942879996</v>
      </c>
      <c r="D25" s="68">
        <v>51761.252162304998</v>
      </c>
      <c r="E25" s="68">
        <v>65808.125286558192</v>
      </c>
      <c r="F25" s="68">
        <v>87213.879417219476</v>
      </c>
      <c r="G25" s="68">
        <v>107801.45415229556</v>
      </c>
      <c r="H25" s="68">
        <v>130364.27949376887</v>
      </c>
      <c r="I25" s="48"/>
      <c r="J25" s="58"/>
      <c r="K25" s="58"/>
      <c r="L25" s="59"/>
      <c r="M25" s="59"/>
      <c r="N25" s="41"/>
      <c r="O25" s="41"/>
      <c r="P25" s="41"/>
      <c r="Q25" s="41"/>
      <c r="R25" s="41"/>
      <c r="S25" s="41"/>
      <c r="T25" s="41"/>
      <c r="U25" s="41"/>
    </row>
    <row r="26" spans="1:28" ht="30" customHeight="1" x14ac:dyDescent="0.3">
      <c r="A26" s="25" t="s">
        <v>86</v>
      </c>
      <c r="B26" s="49">
        <v>-55663</v>
      </c>
      <c r="C26" s="68">
        <v>-56579.87999999999</v>
      </c>
      <c r="D26" s="68">
        <v>-50167.493600000002</v>
      </c>
      <c r="E26" s="68">
        <v>-48913.306259999998</v>
      </c>
      <c r="F26" s="68">
        <v>-52989.415115000003</v>
      </c>
      <c r="G26" s="68">
        <v>-55108.991719600017</v>
      </c>
      <c r="H26" s="68">
        <v>-69988.419483892023</v>
      </c>
      <c r="I26" s="48"/>
      <c r="J26" s="58"/>
      <c r="K26" s="58"/>
      <c r="L26" s="59"/>
      <c r="M26" s="59"/>
      <c r="N26" s="41"/>
      <c r="O26" s="41"/>
      <c r="P26" s="41"/>
      <c r="Q26" s="41"/>
      <c r="R26" s="41"/>
      <c r="S26" s="41"/>
      <c r="T26" s="41"/>
      <c r="U26" s="41"/>
    </row>
    <row r="27" spans="1:28" ht="30" customHeight="1" x14ac:dyDescent="0.3">
      <c r="A27" s="25" t="s">
        <v>105</v>
      </c>
      <c r="B27" s="49">
        <v>-23686</v>
      </c>
      <c r="C27" s="68">
        <v>-18323.809057119994</v>
      </c>
      <c r="D27" s="68">
        <v>1593.7585623049963</v>
      </c>
      <c r="E27" s="68">
        <v>16894.819026558194</v>
      </c>
      <c r="F27" s="68">
        <v>34224.464302219472</v>
      </c>
      <c r="G27" s="68">
        <v>52692.462432695538</v>
      </c>
      <c r="H27" s="68">
        <v>60375.860009876851</v>
      </c>
      <c r="I27" s="48"/>
      <c r="J27" s="45"/>
      <c r="K27" s="45"/>
      <c r="L27" s="45"/>
      <c r="M27" s="41"/>
      <c r="N27" s="116" t="s">
        <v>146</v>
      </c>
      <c r="O27" s="116"/>
      <c r="P27" s="116"/>
      <c r="Q27" s="127">
        <f>Q22-G12-G13</f>
        <v>567424.67454587424</v>
      </c>
      <c r="R27" s="127"/>
      <c r="S27" s="127"/>
      <c r="T27" s="41"/>
      <c r="U27" s="41"/>
    </row>
    <row r="28" spans="1:28" ht="30" customHeight="1" x14ac:dyDescent="0.2">
      <c r="B28" s="49">
        <f>B27</f>
        <v>-23686</v>
      </c>
      <c r="C28" s="68">
        <f>C27</f>
        <v>-18323.809057119994</v>
      </c>
      <c r="D28" s="68">
        <f t="shared" ref="D28:G28" si="0">D27</f>
        <v>1593.7585623049963</v>
      </c>
      <c r="E28" s="68">
        <f t="shared" si="0"/>
        <v>16894.819026558194</v>
      </c>
      <c r="F28" s="68">
        <f t="shared" si="0"/>
        <v>34224.464302219472</v>
      </c>
      <c r="G28" s="68">
        <f t="shared" si="0"/>
        <v>52692.462432695538</v>
      </c>
      <c r="H28" s="68">
        <f>H27+I22</f>
        <v>1097042.4343911204</v>
      </c>
      <c r="I28" s="48"/>
      <c r="J28" s="45"/>
      <c r="K28" s="45"/>
      <c r="L28" s="45"/>
      <c r="M28" s="41"/>
      <c r="N28" s="116"/>
      <c r="O28" s="116"/>
      <c r="P28" s="116"/>
      <c r="Q28" s="127"/>
      <c r="R28" s="127"/>
      <c r="S28" s="127"/>
      <c r="T28" s="41"/>
      <c r="U28" s="41"/>
    </row>
    <row r="29" spans="1:28" ht="30" customHeight="1" x14ac:dyDescent="0.3">
      <c r="A29" s="25" t="s">
        <v>38</v>
      </c>
      <c r="B29" s="49">
        <f>'Historical Financials'!H29</f>
        <v>2914</v>
      </c>
      <c r="C29" s="68">
        <v>2900</v>
      </c>
      <c r="D29" s="68">
        <v>2900</v>
      </c>
      <c r="E29" s="68">
        <v>2900</v>
      </c>
      <c r="F29" s="68">
        <v>2900</v>
      </c>
      <c r="G29" s="68">
        <v>2900</v>
      </c>
      <c r="H29" s="68">
        <v>2900</v>
      </c>
      <c r="I29" s="48"/>
      <c r="J29" s="116" t="s">
        <v>152</v>
      </c>
      <c r="K29" s="116"/>
      <c r="L29" s="125">
        <f>L24*E30</f>
        <v>401.45596112894992</v>
      </c>
      <c r="M29" s="125"/>
      <c r="N29" s="116"/>
      <c r="O29" s="116"/>
      <c r="P29" s="116"/>
      <c r="Q29" s="127"/>
      <c r="R29" s="127"/>
      <c r="S29" s="127"/>
      <c r="T29" s="41"/>
      <c r="U29" s="41"/>
    </row>
    <row r="30" spans="1:28" ht="30" customHeight="1" x14ac:dyDescent="0.3">
      <c r="A30" s="25" t="s">
        <v>150</v>
      </c>
      <c r="B30" s="1">
        <f>B24/B29</f>
        <v>5.8637611530542211</v>
      </c>
      <c r="C30" s="73">
        <f t="shared" ref="C30:H30" si="1">C24/C29</f>
        <v>8.9645161871999992</v>
      </c>
      <c r="D30" s="73">
        <f t="shared" si="1"/>
        <v>12.312984210450001</v>
      </c>
      <c r="E30" s="73">
        <f t="shared" si="1"/>
        <v>16.058238445157997</v>
      </c>
      <c r="F30" s="73">
        <f t="shared" si="1"/>
        <v>21.449267407910167</v>
      </c>
      <c r="G30" s="73">
        <f t="shared" si="1"/>
        <v>27.196287413622599</v>
      </c>
      <c r="H30" s="73">
        <f t="shared" si="1"/>
        <v>33.730918770261759</v>
      </c>
      <c r="J30" s="116"/>
      <c r="K30" s="116"/>
      <c r="L30" s="125"/>
      <c r="M30" s="125"/>
      <c r="N30" s="41"/>
      <c r="O30" s="41"/>
      <c r="P30" s="41"/>
      <c r="Q30" s="41"/>
      <c r="R30" s="41"/>
      <c r="S30" s="41"/>
      <c r="T30" s="41"/>
      <c r="U30" s="116" t="s">
        <v>149</v>
      </c>
      <c r="V30" s="116"/>
      <c r="W30" s="116"/>
      <c r="X30" s="116"/>
    </row>
    <row r="31" spans="1:28" ht="30" customHeight="1" x14ac:dyDescent="0.2">
      <c r="J31" s="116"/>
      <c r="K31" s="116"/>
      <c r="L31" s="125"/>
      <c r="M31" s="125"/>
      <c r="N31" s="41"/>
      <c r="O31" s="41"/>
      <c r="P31" s="41"/>
      <c r="Q31" s="41"/>
      <c r="R31" s="41"/>
      <c r="S31" s="41"/>
      <c r="T31" s="41"/>
      <c r="U31" s="116"/>
      <c r="V31" s="116"/>
      <c r="W31" s="116"/>
      <c r="X31" s="116"/>
      <c r="Z31" s="117">
        <f>L32*0.75+Q33*0.25</f>
        <v>274.77947721044421</v>
      </c>
      <c r="AA31" s="118"/>
      <c r="AB31" s="118"/>
    </row>
    <row r="32" spans="1:28" ht="30" customHeight="1" x14ac:dyDescent="0.2">
      <c r="B32" s="62"/>
      <c r="C32" s="62"/>
      <c r="D32" s="62"/>
      <c r="E32" s="45"/>
      <c r="F32" s="45"/>
      <c r="J32" s="116" t="s">
        <v>160</v>
      </c>
      <c r="K32" s="116"/>
      <c r="L32" s="123">
        <f>L29/(1+B15)^3</f>
        <v>301.1514093212964</v>
      </c>
      <c r="M32" s="124"/>
      <c r="N32" s="41"/>
      <c r="O32" s="41"/>
      <c r="P32" s="41"/>
      <c r="Q32" s="41"/>
      <c r="R32" s="41"/>
      <c r="S32" s="41"/>
      <c r="T32" s="41"/>
      <c r="U32" s="116"/>
      <c r="V32" s="116"/>
      <c r="W32" s="116"/>
      <c r="X32" s="116"/>
      <c r="Z32" s="118"/>
      <c r="AA32" s="118"/>
      <c r="AB32" s="118"/>
    </row>
    <row r="33" spans="1:28" ht="30" customHeight="1" x14ac:dyDescent="0.2">
      <c r="B33" s="62"/>
      <c r="C33" s="62"/>
      <c r="D33" s="62"/>
      <c r="E33" s="45"/>
      <c r="F33" s="51"/>
      <c r="J33" s="116"/>
      <c r="K33" s="116"/>
      <c r="L33" s="124"/>
      <c r="M33" s="124"/>
      <c r="N33" s="116" t="s">
        <v>159</v>
      </c>
      <c r="O33" s="116"/>
      <c r="P33" s="116"/>
      <c r="Q33" s="125">
        <f>Q27/E29</f>
        <v>195.66368087788766</v>
      </c>
      <c r="R33" s="125"/>
      <c r="S33" s="125"/>
      <c r="T33" s="41"/>
      <c r="U33" s="116"/>
      <c r="V33" s="116"/>
      <c r="W33" s="116"/>
      <c r="X33" s="116"/>
      <c r="Z33" s="118"/>
      <c r="AA33" s="118"/>
      <c r="AB33" s="118"/>
    </row>
    <row r="34" spans="1:28" ht="30" customHeight="1" x14ac:dyDescent="0.2">
      <c r="B34" s="62"/>
      <c r="C34" s="62"/>
      <c r="D34" s="62"/>
      <c r="F34" s="51"/>
      <c r="J34" s="116"/>
      <c r="K34" s="116"/>
      <c r="L34" s="124"/>
      <c r="M34" s="124"/>
      <c r="N34" s="116"/>
      <c r="O34" s="116"/>
      <c r="P34" s="116"/>
      <c r="Q34" s="125"/>
      <c r="R34" s="125"/>
      <c r="S34" s="125"/>
      <c r="T34" s="41"/>
      <c r="U34" s="116"/>
      <c r="V34" s="116"/>
      <c r="W34" s="116"/>
      <c r="X34" s="116"/>
    </row>
    <row r="35" spans="1:28" ht="30" customHeight="1" x14ac:dyDescent="0.2">
      <c r="N35" s="116"/>
      <c r="O35" s="116"/>
      <c r="P35" s="116"/>
      <c r="Q35" s="125"/>
      <c r="R35" s="125"/>
      <c r="S35" s="125"/>
      <c r="T35" s="41"/>
      <c r="U35" s="41"/>
    </row>
    <row r="36" spans="1:28" ht="30" customHeight="1" x14ac:dyDescent="0.35">
      <c r="B36" s="63"/>
      <c r="C36" s="63"/>
      <c r="D36" s="63"/>
      <c r="F36" s="64"/>
      <c r="J36" s="45"/>
      <c r="K36" s="45"/>
      <c r="L36" s="45"/>
      <c r="M36" s="41"/>
      <c r="N36" s="116"/>
      <c r="O36" s="116"/>
      <c r="P36" s="116"/>
      <c r="Q36" s="125"/>
      <c r="R36" s="125"/>
      <c r="S36" s="125"/>
      <c r="T36" s="41"/>
      <c r="U36" s="41"/>
    </row>
    <row r="37" spans="1:28" ht="30" customHeight="1" x14ac:dyDescent="0.2">
      <c r="B37" s="63"/>
      <c r="C37" s="63"/>
      <c r="D37" s="63"/>
      <c r="J37" s="45"/>
      <c r="K37" s="45"/>
      <c r="L37" s="45"/>
      <c r="M37" s="41"/>
      <c r="N37" s="61"/>
      <c r="O37" s="61"/>
      <c r="P37" s="61"/>
      <c r="Q37" s="62"/>
      <c r="R37" s="62"/>
      <c r="S37" s="62"/>
      <c r="T37" s="41"/>
      <c r="U37" s="41"/>
    </row>
    <row r="38" spans="1:28" ht="30" customHeight="1" x14ac:dyDescent="0.2">
      <c r="B38" s="63"/>
      <c r="C38" s="63"/>
      <c r="D38" s="63"/>
      <c r="J38" s="45"/>
      <c r="K38" s="45"/>
      <c r="L38" s="45"/>
      <c r="M38" s="41"/>
      <c r="N38" s="61"/>
      <c r="O38" s="61"/>
      <c r="P38" s="61"/>
      <c r="Q38" s="77"/>
      <c r="R38" s="77"/>
      <c r="S38" s="77"/>
      <c r="T38" s="41"/>
      <c r="U38" s="41"/>
    </row>
    <row r="39" spans="1:28" ht="30" customHeight="1" x14ac:dyDescent="0.2">
      <c r="J39" s="45"/>
      <c r="K39" s="45"/>
      <c r="L39" s="45"/>
      <c r="M39" s="41"/>
      <c r="N39" s="41"/>
      <c r="O39" s="41"/>
      <c r="P39" s="41"/>
      <c r="Q39" s="77"/>
      <c r="R39" s="77"/>
      <c r="S39" s="77"/>
      <c r="T39" s="41"/>
      <c r="U39" s="41"/>
    </row>
    <row r="40" spans="1:28" ht="30" customHeight="1" x14ac:dyDescent="0.2">
      <c r="A40" s="110" t="s">
        <v>154</v>
      </c>
      <c r="J40" s="45"/>
      <c r="K40" s="45"/>
      <c r="L40" s="45"/>
      <c r="M40" s="41"/>
      <c r="N40" s="116" t="s">
        <v>145</v>
      </c>
      <c r="O40" s="116"/>
      <c r="P40" s="116"/>
      <c r="Q40" s="130">
        <f>NPV(B15,C48:H48)</f>
        <v>338557.11712424085</v>
      </c>
      <c r="R40" s="129"/>
      <c r="S40" s="129"/>
      <c r="T40" s="41"/>
      <c r="U40" s="41"/>
    </row>
    <row r="41" spans="1:28" ht="30" customHeight="1" x14ac:dyDescent="0.2">
      <c r="A41" s="10"/>
      <c r="B41" s="10" t="s">
        <v>122</v>
      </c>
      <c r="C41" s="70" t="s">
        <v>119</v>
      </c>
      <c r="D41" s="70" t="s">
        <v>120</v>
      </c>
      <c r="E41" s="70" t="s">
        <v>121</v>
      </c>
      <c r="F41" s="70" t="s">
        <v>130</v>
      </c>
      <c r="G41" s="70" t="s">
        <v>131</v>
      </c>
      <c r="H41" s="70" t="s">
        <v>132</v>
      </c>
      <c r="I41" s="10" t="s">
        <v>144</v>
      </c>
      <c r="J41" s="45"/>
      <c r="K41" s="45"/>
      <c r="L41" s="45"/>
      <c r="M41" s="41"/>
      <c r="N41" s="116"/>
      <c r="O41" s="116"/>
      <c r="P41" s="116"/>
      <c r="Q41" s="129"/>
      <c r="R41" s="129"/>
      <c r="S41" s="129"/>
      <c r="T41" s="41"/>
      <c r="U41" s="41"/>
    </row>
    <row r="42" spans="1:28" ht="30" customHeight="1" x14ac:dyDescent="0.3">
      <c r="A42" s="10" t="s">
        <v>123</v>
      </c>
      <c r="B42" s="15">
        <v>67357</v>
      </c>
      <c r="C42" s="68">
        <v>89921.595000000001</v>
      </c>
      <c r="D42" s="68">
        <v>112401.99374999999</v>
      </c>
      <c r="E42" s="68">
        <v>134882.39249999999</v>
      </c>
      <c r="F42" s="68">
        <v>156463.57529999997</v>
      </c>
      <c r="G42" s="68">
        <v>181497.74734799995</v>
      </c>
      <c r="H42" s="68">
        <v>208722.40945019992</v>
      </c>
      <c r="I42" s="57">
        <f>H47*(1+C16)/(B15-C16)</f>
        <v>541336.01267808664</v>
      </c>
      <c r="J42" s="45"/>
      <c r="K42" s="45"/>
      <c r="L42" s="45"/>
      <c r="M42" s="41"/>
      <c r="N42" s="116"/>
      <c r="O42" s="116"/>
      <c r="P42" s="116"/>
      <c r="Q42" s="129"/>
      <c r="R42" s="129"/>
      <c r="S42" s="129"/>
      <c r="T42" s="41"/>
      <c r="U42" s="41"/>
    </row>
    <row r="43" spans="1:28" ht="30" customHeight="1" x14ac:dyDescent="0.2">
      <c r="A43" s="10" t="s">
        <v>124</v>
      </c>
      <c r="B43" s="15">
        <v>20606</v>
      </c>
      <c r="C43" s="68">
        <v>28325.302425000002</v>
      </c>
      <c r="D43" s="68">
        <v>35968.637999999999</v>
      </c>
      <c r="E43" s="68">
        <v>43836.777562499999</v>
      </c>
      <c r="F43" s="68">
        <v>51632.979848999988</v>
      </c>
      <c r="G43" s="68">
        <v>59894.256624839982</v>
      </c>
      <c r="H43" s="68">
        <v>68878.395118565983</v>
      </c>
      <c r="I43" s="10"/>
      <c r="J43" s="76" t="s">
        <v>151</v>
      </c>
      <c r="K43" s="76"/>
      <c r="L43" s="76">
        <v>22</v>
      </c>
      <c r="M43" s="60"/>
      <c r="N43" s="41"/>
      <c r="O43" s="41"/>
      <c r="P43" s="41"/>
      <c r="Q43" s="77"/>
      <c r="R43" s="77"/>
      <c r="S43" s="77"/>
      <c r="T43" s="41"/>
      <c r="U43" s="41"/>
    </row>
    <row r="44" spans="1:28" ht="30" customHeight="1" x14ac:dyDescent="0.2">
      <c r="A44" s="10" t="s">
        <v>30</v>
      </c>
      <c r="B44" s="15">
        <v>17087</v>
      </c>
      <c r="C44" s="68">
        <v>22967.288218287002</v>
      </c>
      <c r="D44" s="68">
        <v>29258.688581099999</v>
      </c>
      <c r="E44" s="68">
        <v>35773.440697653743</v>
      </c>
      <c r="F44" s="68">
        <v>42090.688843106305</v>
      </c>
      <c r="G44" s="68">
        <v>48981.523067794136</v>
      </c>
      <c r="H44" s="68">
        <v>56628.372546729021</v>
      </c>
      <c r="I44" s="10"/>
      <c r="J44" s="45"/>
      <c r="K44" s="45"/>
      <c r="L44" s="45"/>
      <c r="M44" s="41"/>
      <c r="N44" s="41"/>
      <c r="O44" s="41"/>
      <c r="P44" s="41"/>
      <c r="Q44" s="77"/>
      <c r="R44" s="77"/>
      <c r="S44" s="77"/>
      <c r="T44" s="41"/>
      <c r="U44" s="41"/>
    </row>
    <row r="45" spans="1:28" ht="30" customHeight="1" x14ac:dyDescent="0.2">
      <c r="A45" s="10" t="s">
        <v>125</v>
      </c>
      <c r="B45" s="15">
        <v>31977</v>
      </c>
      <c r="C45" s="68">
        <v>34657.095568286997</v>
      </c>
      <c r="D45" s="68">
        <v>43646.1437811</v>
      </c>
      <c r="E45" s="68">
        <v>51419.798227653744</v>
      </c>
      <c r="F45" s="68">
        <v>60084.000002606299</v>
      </c>
      <c r="G45" s="68">
        <v>68038.786539334134</v>
      </c>
      <c r="H45" s="68">
        <v>76039.556625597615</v>
      </c>
      <c r="I45" s="10"/>
      <c r="J45" s="45"/>
      <c r="K45" s="45"/>
      <c r="L45" s="45"/>
      <c r="M45" s="41"/>
      <c r="N45" s="116" t="s">
        <v>146</v>
      </c>
      <c r="O45" s="116"/>
      <c r="P45" s="116"/>
      <c r="Q45" s="129">
        <f>Q40-G12-G13</f>
        <v>235351.11712424085</v>
      </c>
      <c r="R45" s="129"/>
      <c r="S45" s="129"/>
      <c r="T45" s="41"/>
      <c r="U45" s="41"/>
    </row>
    <row r="46" spans="1:28" ht="30" customHeight="1" x14ac:dyDescent="0.2">
      <c r="A46" s="10" t="s">
        <v>86</v>
      </c>
      <c r="B46" s="15">
        <v>-55663</v>
      </c>
      <c r="C46" s="68">
        <v>-53952.957000000002</v>
      </c>
      <c r="D46" s="68">
        <v>-50580.897187499999</v>
      </c>
      <c r="E46" s="68">
        <v>-43162.365599999997</v>
      </c>
      <c r="F46" s="68">
        <v>-39115.893824999992</v>
      </c>
      <c r="G46" s="68">
        <v>-39929.50441655999</v>
      </c>
      <c r="H46" s="68">
        <v>-41744.481890039984</v>
      </c>
      <c r="I46" s="45"/>
      <c r="J46" s="45"/>
      <c r="K46" s="45"/>
      <c r="L46" s="45"/>
      <c r="M46" s="41"/>
      <c r="N46" s="116"/>
      <c r="O46" s="116"/>
      <c r="P46" s="116"/>
      <c r="Q46" s="129"/>
      <c r="R46" s="129"/>
      <c r="S46" s="129"/>
      <c r="T46" s="41"/>
      <c r="U46" s="116" t="s">
        <v>149</v>
      </c>
      <c r="V46" s="116"/>
      <c r="W46" s="116"/>
      <c r="X46" s="116"/>
    </row>
    <row r="47" spans="1:28" ht="30" customHeight="1" x14ac:dyDescent="0.2">
      <c r="A47" s="10" t="s">
        <v>105</v>
      </c>
      <c r="B47" s="15">
        <v>-23686</v>
      </c>
      <c r="C47" s="68">
        <v>-19295.861431713005</v>
      </c>
      <c r="D47" s="68">
        <v>-6934.7534063999992</v>
      </c>
      <c r="E47" s="68">
        <v>8257.4326276537467</v>
      </c>
      <c r="F47" s="68">
        <v>20968.106177606307</v>
      </c>
      <c r="G47" s="68">
        <v>28109.282122774144</v>
      </c>
      <c r="H47" s="68">
        <v>34295.074735557631</v>
      </c>
      <c r="I47" s="45"/>
      <c r="J47" s="45"/>
      <c r="K47" s="45"/>
      <c r="L47" s="45"/>
      <c r="M47" s="41"/>
      <c r="N47" s="116"/>
      <c r="O47" s="116"/>
      <c r="P47" s="116"/>
      <c r="Q47" s="129"/>
      <c r="R47" s="129"/>
      <c r="S47" s="129"/>
      <c r="T47" s="41"/>
      <c r="U47" s="116"/>
      <c r="V47" s="116"/>
      <c r="W47" s="116"/>
      <c r="X47" s="116"/>
      <c r="Z47" s="119">
        <f>L51*0.75+Q49*0.25</f>
        <v>173.213622833795</v>
      </c>
      <c r="AA47" s="120"/>
      <c r="AB47" s="120"/>
    </row>
    <row r="48" spans="1:28" ht="30" customHeight="1" x14ac:dyDescent="0.2">
      <c r="A48" s="10"/>
      <c r="B48" s="15">
        <f>B47</f>
        <v>-23686</v>
      </c>
      <c r="C48" s="68">
        <f t="shared" ref="C48:G48" si="2">C47</f>
        <v>-19295.861431713005</v>
      </c>
      <c r="D48" s="68">
        <f t="shared" si="2"/>
        <v>-6934.7534063999992</v>
      </c>
      <c r="E48" s="68">
        <f t="shared" si="2"/>
        <v>8257.4326276537467</v>
      </c>
      <c r="F48" s="68">
        <f t="shared" si="2"/>
        <v>20968.106177606307</v>
      </c>
      <c r="G48" s="68">
        <f t="shared" si="2"/>
        <v>28109.282122774144</v>
      </c>
      <c r="H48" s="67">
        <f>I42+H47</f>
        <v>575631.0874136443</v>
      </c>
      <c r="I48" s="45"/>
      <c r="J48" s="116" t="s">
        <v>152</v>
      </c>
      <c r="K48" s="116"/>
      <c r="L48" s="125">
        <f>L43*E50</f>
        <v>271.38472253392496</v>
      </c>
      <c r="M48" s="125"/>
      <c r="N48" s="41"/>
      <c r="O48" s="41"/>
      <c r="P48" s="41"/>
      <c r="Q48" s="77"/>
      <c r="R48" s="77"/>
      <c r="S48" s="77"/>
      <c r="T48" s="41"/>
      <c r="U48" s="116"/>
      <c r="V48" s="116"/>
      <c r="W48" s="116"/>
      <c r="X48" s="116"/>
      <c r="Z48" s="120"/>
      <c r="AA48" s="120"/>
      <c r="AB48" s="120"/>
    </row>
    <row r="49" spans="1:28" ht="30" customHeight="1" x14ac:dyDescent="0.3">
      <c r="A49" s="25" t="s">
        <v>38</v>
      </c>
      <c r="B49" s="49">
        <f>'Historical Financials'!$H$29</f>
        <v>2914</v>
      </c>
      <c r="C49" s="68">
        <v>2900</v>
      </c>
      <c r="D49" s="68">
        <v>2900</v>
      </c>
      <c r="E49" s="68">
        <v>2900</v>
      </c>
      <c r="F49" s="68">
        <v>2900</v>
      </c>
      <c r="G49" s="68">
        <v>2900</v>
      </c>
      <c r="H49" s="68">
        <v>2900</v>
      </c>
      <c r="I49" s="45"/>
      <c r="J49" s="116"/>
      <c r="K49" s="116"/>
      <c r="L49" s="125"/>
      <c r="M49" s="125"/>
      <c r="N49" s="116" t="s">
        <v>159</v>
      </c>
      <c r="O49" s="116"/>
      <c r="P49" s="116"/>
      <c r="Q49" s="125">
        <f>Q45/G14</f>
        <v>82.11832418849994</v>
      </c>
      <c r="R49" s="125"/>
      <c r="S49" s="125"/>
      <c r="T49" s="41"/>
      <c r="U49" s="116"/>
      <c r="V49" s="116"/>
      <c r="W49" s="116"/>
      <c r="X49" s="116"/>
      <c r="Z49" s="120"/>
      <c r="AA49" s="120"/>
      <c r="AB49" s="120"/>
    </row>
    <row r="50" spans="1:28" ht="30" customHeight="1" x14ac:dyDescent="0.2">
      <c r="A50" s="10" t="s">
        <v>150</v>
      </c>
      <c r="B50" s="45">
        <f>B44/B49</f>
        <v>5.8637611530542211</v>
      </c>
      <c r="C50" s="67">
        <f t="shared" ref="C50:H50" si="3">C44/C49</f>
        <v>7.9197545580300002</v>
      </c>
      <c r="D50" s="67">
        <f t="shared" si="3"/>
        <v>10.089202959</v>
      </c>
      <c r="E50" s="67">
        <f t="shared" si="3"/>
        <v>12.335669206087498</v>
      </c>
      <c r="F50" s="67">
        <f t="shared" si="3"/>
        <v>14.514030635553897</v>
      </c>
      <c r="G50" s="67">
        <f t="shared" si="3"/>
        <v>16.890180368204874</v>
      </c>
      <c r="H50" s="67">
        <f t="shared" si="3"/>
        <v>19.527025016113456</v>
      </c>
      <c r="I50" s="45"/>
      <c r="J50" s="116"/>
      <c r="K50" s="116"/>
      <c r="L50" s="125"/>
      <c r="M50" s="125"/>
      <c r="N50" s="116"/>
      <c r="O50" s="116"/>
      <c r="P50" s="116"/>
      <c r="Q50" s="125"/>
      <c r="R50" s="125"/>
      <c r="S50" s="125"/>
      <c r="T50" s="41"/>
      <c r="U50" s="116"/>
      <c r="V50" s="116"/>
      <c r="W50" s="116"/>
      <c r="X50" s="116"/>
    </row>
    <row r="51" spans="1:28" ht="30" customHeight="1" x14ac:dyDescent="0.2">
      <c r="I51" s="45"/>
      <c r="J51" s="116" t="s">
        <v>160</v>
      </c>
      <c r="K51" s="116"/>
      <c r="L51" s="123">
        <f>L48/(1+B15)^3</f>
        <v>203.57872238222669</v>
      </c>
      <c r="M51" s="124"/>
      <c r="N51" s="116"/>
      <c r="O51" s="116"/>
      <c r="P51" s="116"/>
      <c r="Q51" s="125"/>
      <c r="R51" s="125"/>
      <c r="S51" s="125"/>
      <c r="T51" s="41"/>
      <c r="U51" s="41"/>
    </row>
    <row r="52" spans="1:28" ht="30" customHeight="1" x14ac:dyDescent="0.2">
      <c r="I52" s="45"/>
      <c r="J52" s="116"/>
      <c r="K52" s="116"/>
      <c r="L52" s="124"/>
      <c r="M52" s="124"/>
      <c r="N52" s="116"/>
      <c r="O52" s="116"/>
      <c r="P52" s="116"/>
      <c r="Q52" s="125"/>
      <c r="R52" s="125"/>
      <c r="S52" s="125"/>
      <c r="T52" s="41"/>
      <c r="U52" s="41"/>
    </row>
    <row r="53" spans="1:28" ht="30" customHeight="1" x14ac:dyDescent="0.2">
      <c r="J53" s="116"/>
      <c r="K53" s="116"/>
      <c r="L53" s="124"/>
      <c r="M53" s="124"/>
      <c r="Q53" s="77"/>
      <c r="R53" s="77"/>
      <c r="S53" s="77"/>
      <c r="T53" s="41"/>
      <c r="U53" s="41"/>
    </row>
    <row r="54" spans="1:28" ht="30" customHeight="1" x14ac:dyDescent="0.2">
      <c r="A54" s="111" t="s">
        <v>155</v>
      </c>
      <c r="B54" s="37"/>
      <c r="C54" s="37"/>
      <c r="D54" s="37"/>
      <c r="E54" s="45"/>
      <c r="F54" s="45"/>
      <c r="G54" s="45"/>
      <c r="H54" s="45"/>
      <c r="I54" s="45"/>
      <c r="J54" s="45"/>
      <c r="K54" s="41"/>
      <c r="L54" s="41"/>
      <c r="M54" s="41"/>
      <c r="Q54" s="77"/>
      <c r="R54" s="77"/>
      <c r="S54" s="77"/>
      <c r="T54" s="41"/>
      <c r="U54" s="41"/>
    </row>
    <row r="55" spans="1:28" ht="30" customHeight="1" x14ac:dyDescent="0.2">
      <c r="A55" s="35"/>
      <c r="B55" s="34" t="s">
        <v>122</v>
      </c>
      <c r="C55" s="66" t="s">
        <v>119</v>
      </c>
      <c r="D55" s="66" t="s">
        <v>120</v>
      </c>
      <c r="E55" s="67" t="s">
        <v>121</v>
      </c>
      <c r="F55" s="67" t="s">
        <v>130</v>
      </c>
      <c r="G55" s="67" t="s">
        <v>131</v>
      </c>
      <c r="H55" s="67" t="s">
        <v>132</v>
      </c>
      <c r="I55" s="48" t="s">
        <v>144</v>
      </c>
      <c r="J55" s="45"/>
      <c r="K55" s="41"/>
      <c r="L55" s="41"/>
      <c r="M55" s="41"/>
      <c r="N55" s="116" t="s">
        <v>145</v>
      </c>
      <c r="O55" s="116"/>
      <c r="P55" s="116"/>
      <c r="Q55" s="130">
        <f>NPV(B15,C62:H62)</f>
        <v>155189.89102934275</v>
      </c>
      <c r="R55" s="129"/>
      <c r="S55" s="129"/>
      <c r="T55" s="41"/>
      <c r="U55" s="41"/>
    </row>
    <row r="56" spans="1:28" ht="30" customHeight="1" x14ac:dyDescent="0.2">
      <c r="A56" s="35" t="s">
        <v>123</v>
      </c>
      <c r="B56" s="49">
        <v>67357</v>
      </c>
      <c r="C56" s="68">
        <v>84196.25</v>
      </c>
      <c r="D56" s="68">
        <v>99351.574999999997</v>
      </c>
      <c r="E56" s="68">
        <v>115247.82699999999</v>
      </c>
      <c r="F56" s="68">
        <v>132535.00104999999</v>
      </c>
      <c r="G56" s="68">
        <v>145788.50115500001</v>
      </c>
      <c r="H56" s="68">
        <v>160367.35127050002</v>
      </c>
      <c r="I56" s="48">
        <f>H61*(1+D16)/(B15-D16)</f>
        <v>280044.8674371792</v>
      </c>
      <c r="J56" s="45"/>
      <c r="K56" s="41"/>
      <c r="L56" s="41"/>
      <c r="M56" s="41"/>
      <c r="N56" s="116"/>
      <c r="O56" s="116"/>
      <c r="P56" s="116"/>
      <c r="Q56" s="129"/>
      <c r="R56" s="129"/>
      <c r="S56" s="129"/>
      <c r="T56" s="41"/>
      <c r="U56" s="41"/>
    </row>
    <row r="57" spans="1:28" ht="30" customHeight="1" x14ac:dyDescent="0.35">
      <c r="A57" s="35" t="s">
        <v>124</v>
      </c>
      <c r="B57" s="49">
        <v>20606</v>
      </c>
      <c r="C57" s="68">
        <v>24416.912499999999</v>
      </c>
      <c r="D57" s="68">
        <v>28811.956749999998</v>
      </c>
      <c r="E57" s="68">
        <v>33998.108964999992</v>
      </c>
      <c r="F57" s="68">
        <v>39760.500314999997</v>
      </c>
      <c r="G57" s="68">
        <v>43736.5503465</v>
      </c>
      <c r="H57" s="68">
        <v>48110.205381150001</v>
      </c>
      <c r="I57" s="48"/>
      <c r="J57" s="51" t="s">
        <v>151</v>
      </c>
      <c r="K57" s="64"/>
      <c r="L57" s="64">
        <v>18</v>
      </c>
      <c r="M57" s="41"/>
      <c r="N57" s="116"/>
      <c r="O57" s="116"/>
      <c r="P57" s="116"/>
      <c r="Q57" s="129"/>
      <c r="R57" s="129"/>
      <c r="S57" s="129"/>
      <c r="T57" s="41"/>
      <c r="U57" s="41"/>
    </row>
    <row r="58" spans="1:28" ht="30" customHeight="1" x14ac:dyDescent="0.2">
      <c r="A58" s="35" t="s">
        <v>30</v>
      </c>
      <c r="B58" s="49">
        <v>17087</v>
      </c>
      <c r="C58" s="68">
        <v>19798.209331499995</v>
      </c>
      <c r="D58" s="68">
        <v>23437.086218287499</v>
      </c>
      <c r="E58" s="68">
        <v>27744.496801977893</v>
      </c>
      <c r="F58" s="68">
        <v>32412.362251784853</v>
      </c>
      <c r="G58" s="68">
        <v>35767.750873367695</v>
      </c>
      <c r="H58" s="68">
        <v>39553.805354112468</v>
      </c>
      <c r="I58" s="48"/>
      <c r="J58" s="45"/>
      <c r="K58" s="41"/>
      <c r="L58" s="41"/>
      <c r="M58" s="41"/>
      <c r="N58" s="41"/>
      <c r="O58" s="41"/>
      <c r="P58" s="41"/>
      <c r="Q58" s="62"/>
      <c r="R58" s="62"/>
      <c r="S58" s="62"/>
      <c r="T58" s="41"/>
      <c r="U58" s="41"/>
    </row>
    <row r="59" spans="1:28" ht="30" customHeight="1" x14ac:dyDescent="0.2">
      <c r="A59" s="35" t="s">
        <v>125</v>
      </c>
      <c r="B59" s="49">
        <v>31977</v>
      </c>
      <c r="C59" s="68">
        <v>31585.684331499997</v>
      </c>
      <c r="D59" s="68">
        <v>37147.603568287494</v>
      </c>
      <c r="E59" s="68">
        <v>41343.740387977894</v>
      </c>
      <c r="F59" s="68">
        <v>48051.492375684851</v>
      </c>
      <c r="G59" s="68">
        <v>51075.54349464269</v>
      </c>
      <c r="H59" s="68">
        <v>54467.969022268975</v>
      </c>
      <c r="I59" s="48"/>
      <c r="J59" s="41"/>
      <c r="K59" s="41"/>
      <c r="L59" s="41"/>
      <c r="M59" s="41"/>
      <c r="N59" s="41"/>
      <c r="O59" s="41"/>
      <c r="P59" s="41"/>
      <c r="Q59" s="62"/>
      <c r="R59" s="62"/>
      <c r="S59" s="62"/>
      <c r="T59" s="41"/>
      <c r="U59" s="41"/>
    </row>
    <row r="60" spans="1:28" ht="30" customHeight="1" x14ac:dyDescent="0.2">
      <c r="A60" s="35" t="s">
        <v>86</v>
      </c>
      <c r="B60" s="49">
        <v>-55663</v>
      </c>
      <c r="C60" s="68">
        <v>-54727.5625</v>
      </c>
      <c r="D60" s="68">
        <v>-49675.787499999999</v>
      </c>
      <c r="E60" s="68">
        <v>-40336.739449999994</v>
      </c>
      <c r="F60" s="68">
        <v>-37109.800294000001</v>
      </c>
      <c r="G60" s="68">
        <v>-34989.240277199999</v>
      </c>
      <c r="H60" s="68">
        <v>-35280.817279510004</v>
      </c>
      <c r="I60" s="48"/>
      <c r="J60" s="41"/>
      <c r="K60" s="41"/>
      <c r="L60" s="41"/>
      <c r="M60" s="41"/>
      <c r="N60" s="116" t="s">
        <v>146</v>
      </c>
      <c r="O60" s="116"/>
      <c r="P60" s="116"/>
      <c r="Q60" s="129">
        <f>Q55-G12-G13</f>
        <v>51983.891029342747</v>
      </c>
      <c r="R60" s="129"/>
      <c r="S60" s="129"/>
      <c r="T60" s="41"/>
      <c r="U60" s="41"/>
    </row>
    <row r="61" spans="1:28" ht="30" customHeight="1" x14ac:dyDescent="0.2">
      <c r="A61" s="35" t="s">
        <v>105</v>
      </c>
      <c r="B61" s="49">
        <v>-23686</v>
      </c>
      <c r="C61" s="68">
        <v>-23141.878168500003</v>
      </c>
      <c r="D61" s="68">
        <v>-12528.183931712505</v>
      </c>
      <c r="E61" s="68">
        <v>1007.0009379779003</v>
      </c>
      <c r="F61" s="68">
        <v>10941.692081684851</v>
      </c>
      <c r="G61" s="68">
        <v>16086.303217442692</v>
      </c>
      <c r="H61" s="68">
        <v>19187.151742758972</v>
      </c>
      <c r="I61" s="48"/>
      <c r="J61" s="116" t="s">
        <v>152</v>
      </c>
      <c r="K61" s="116"/>
      <c r="L61" s="125">
        <f>L57*E64</f>
        <v>172.20722152951797</v>
      </c>
      <c r="M61" s="125"/>
      <c r="N61" s="116"/>
      <c r="O61" s="116"/>
      <c r="P61" s="116"/>
      <c r="Q61" s="129"/>
      <c r="R61" s="129"/>
      <c r="S61" s="129"/>
      <c r="T61" s="41"/>
      <c r="U61" s="116" t="s">
        <v>149</v>
      </c>
      <c r="V61" s="116"/>
      <c r="W61" s="116"/>
      <c r="X61" s="116"/>
    </row>
    <row r="62" spans="1:28" ht="30" customHeight="1" x14ac:dyDescent="0.2">
      <c r="A62" s="35"/>
      <c r="B62" s="48">
        <f>B61</f>
        <v>-23686</v>
      </c>
      <c r="C62" s="67">
        <f t="shared" ref="C62:G62" si="4">C61</f>
        <v>-23141.878168500003</v>
      </c>
      <c r="D62" s="67">
        <f t="shared" si="4"/>
        <v>-12528.183931712505</v>
      </c>
      <c r="E62" s="67">
        <f t="shared" si="4"/>
        <v>1007.0009379779003</v>
      </c>
      <c r="F62" s="67">
        <f t="shared" si="4"/>
        <v>10941.692081684851</v>
      </c>
      <c r="G62" s="67">
        <f t="shared" si="4"/>
        <v>16086.303217442692</v>
      </c>
      <c r="H62" s="67">
        <f>I56+H61</f>
        <v>299232.01917993819</v>
      </c>
      <c r="I62" s="48"/>
      <c r="J62" s="116"/>
      <c r="K62" s="116"/>
      <c r="L62" s="125"/>
      <c r="M62" s="125"/>
      <c r="N62" s="116"/>
      <c r="O62" s="116"/>
      <c r="P62" s="116"/>
      <c r="Q62" s="129"/>
      <c r="R62" s="129"/>
      <c r="S62" s="129"/>
      <c r="T62" s="41"/>
      <c r="U62" s="116"/>
      <c r="V62" s="116"/>
      <c r="W62" s="116"/>
      <c r="X62" s="116"/>
      <c r="Z62" s="117">
        <f>L64*0.75+Q64*0.25</f>
        <v>101.42021792047309</v>
      </c>
      <c r="AA62" s="118"/>
      <c r="AB62" s="118"/>
    </row>
    <row r="63" spans="1:28" ht="30" customHeight="1" x14ac:dyDescent="0.3">
      <c r="A63" s="25" t="s">
        <v>38</v>
      </c>
      <c r="B63" s="49">
        <f>'Historical Financials'!$H$29</f>
        <v>2914</v>
      </c>
      <c r="C63" s="68">
        <v>2900</v>
      </c>
      <c r="D63" s="68">
        <v>2900</v>
      </c>
      <c r="E63" s="68">
        <v>2900</v>
      </c>
      <c r="F63" s="68">
        <v>2900</v>
      </c>
      <c r="G63" s="68">
        <v>2900</v>
      </c>
      <c r="H63" s="68">
        <v>2900</v>
      </c>
      <c r="I63" s="48"/>
      <c r="J63" s="116"/>
      <c r="K63" s="116"/>
      <c r="L63" s="125"/>
      <c r="M63" s="125"/>
      <c r="N63" s="41"/>
      <c r="O63" s="41"/>
      <c r="P63" s="41"/>
      <c r="Q63" s="62"/>
      <c r="R63" s="62"/>
      <c r="S63" s="62"/>
      <c r="T63" s="41"/>
      <c r="U63" s="116"/>
      <c r="V63" s="116"/>
      <c r="W63" s="116"/>
      <c r="X63" s="116"/>
      <c r="Z63" s="118"/>
      <c r="AA63" s="118"/>
      <c r="AB63" s="118"/>
    </row>
    <row r="64" spans="1:28" ht="30" customHeight="1" x14ac:dyDescent="0.3">
      <c r="A64" s="35" t="s">
        <v>150</v>
      </c>
      <c r="B64" s="65">
        <f>B58/B63</f>
        <v>5.8637611530542211</v>
      </c>
      <c r="C64" s="69">
        <f t="shared" ref="C64:H64" si="5">C58/C63</f>
        <v>6.8269687349999986</v>
      </c>
      <c r="D64" s="69">
        <f t="shared" si="5"/>
        <v>8.0817538683749994</v>
      </c>
      <c r="E64" s="69">
        <f t="shared" si="5"/>
        <v>9.5670678627509975</v>
      </c>
      <c r="F64" s="69">
        <f t="shared" si="5"/>
        <v>11.176676638546502</v>
      </c>
      <c r="G64" s="69">
        <f t="shared" si="5"/>
        <v>12.333707197712998</v>
      </c>
      <c r="H64" s="69">
        <f t="shared" si="5"/>
        <v>13.639243225556024</v>
      </c>
      <c r="I64" s="65"/>
      <c r="J64" s="116" t="s">
        <v>160</v>
      </c>
      <c r="K64" s="116"/>
      <c r="L64" s="121">
        <f>L61/(1+B15)^3</f>
        <v>129.18091267864165</v>
      </c>
      <c r="M64" s="122"/>
      <c r="N64" s="116" t="s">
        <v>159</v>
      </c>
      <c r="O64" s="116"/>
      <c r="P64" s="116"/>
      <c r="Q64" s="125">
        <f>Q60/G14</f>
        <v>18.138133645967461</v>
      </c>
      <c r="R64" s="125"/>
      <c r="S64" s="125"/>
      <c r="T64" s="41"/>
      <c r="U64" s="116"/>
      <c r="V64" s="116"/>
      <c r="W64" s="116"/>
      <c r="X64" s="116"/>
      <c r="Z64" s="118"/>
      <c r="AA64" s="118"/>
      <c r="AB64" s="118"/>
    </row>
    <row r="65" spans="1:24" ht="30" customHeight="1" x14ac:dyDescent="0.3">
      <c r="A65" s="25"/>
      <c r="B65" s="65"/>
      <c r="C65" s="65"/>
      <c r="D65" s="65"/>
      <c r="E65" s="65"/>
      <c r="F65" s="65"/>
      <c r="G65" s="65"/>
      <c r="H65" s="65"/>
      <c r="I65" s="65"/>
      <c r="J65" s="116"/>
      <c r="K65" s="116"/>
      <c r="L65" s="122"/>
      <c r="M65" s="122"/>
      <c r="N65" s="116"/>
      <c r="O65" s="116"/>
      <c r="P65" s="116"/>
      <c r="Q65" s="125"/>
      <c r="R65" s="125"/>
      <c r="S65" s="125"/>
      <c r="T65" s="41"/>
      <c r="U65" s="116"/>
      <c r="V65" s="116"/>
      <c r="W65" s="116"/>
      <c r="X65" s="116"/>
    </row>
    <row r="66" spans="1:24" ht="30" customHeight="1" x14ac:dyDescent="0.3">
      <c r="A66" s="25"/>
      <c r="B66" s="65"/>
      <c r="C66" s="65"/>
      <c r="D66" s="65"/>
      <c r="E66" s="65"/>
      <c r="F66" s="65"/>
      <c r="G66" s="65"/>
      <c r="H66" s="65"/>
      <c r="I66" s="65"/>
      <c r="J66" s="116"/>
      <c r="K66" s="116"/>
      <c r="L66" s="122"/>
      <c r="M66" s="122"/>
      <c r="N66" s="116"/>
      <c r="O66" s="116"/>
      <c r="P66" s="116"/>
      <c r="Q66" s="125"/>
      <c r="R66" s="125"/>
      <c r="S66" s="125"/>
      <c r="T66" s="41"/>
      <c r="U66" s="41"/>
    </row>
    <row r="67" spans="1:24" ht="30" customHeight="1" x14ac:dyDescent="0.3">
      <c r="A67" s="25"/>
      <c r="B67" s="65"/>
      <c r="C67" s="65"/>
      <c r="D67" s="65"/>
      <c r="E67" s="65"/>
      <c r="F67" s="65"/>
      <c r="G67" s="65"/>
      <c r="H67" s="65"/>
      <c r="I67" s="65"/>
      <c r="J67" s="41"/>
      <c r="K67" s="41"/>
      <c r="L67" s="41"/>
      <c r="M67" s="41"/>
      <c r="N67" s="116"/>
      <c r="O67" s="116"/>
      <c r="P67" s="116"/>
      <c r="Q67" s="125"/>
      <c r="R67" s="125"/>
      <c r="S67" s="125"/>
      <c r="T67" s="41"/>
      <c r="U67" s="41"/>
    </row>
    <row r="68" spans="1:24" ht="30" customHeight="1" x14ac:dyDescent="0.2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77"/>
      <c r="R68" s="77"/>
      <c r="S68" s="77"/>
      <c r="T68" s="41"/>
      <c r="U68" s="41"/>
    </row>
    <row r="69" spans="1:24" ht="30" customHeight="1" x14ac:dyDescent="0.2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</row>
    <row r="70" spans="1:24" ht="30" customHeight="1" x14ac:dyDescent="0.2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</row>
    <row r="71" spans="1:24" ht="30" customHeight="1" x14ac:dyDescent="0.2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</row>
    <row r="72" spans="1:24" ht="30" customHeight="1" x14ac:dyDescent="0.2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</row>
    <row r="73" spans="1:24" ht="30" customHeight="1" x14ac:dyDescent="0.2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</row>
    <row r="74" spans="1:24" ht="30" customHeight="1" x14ac:dyDescent="0.2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</row>
    <row r="75" spans="1:24" ht="30" customHeight="1" x14ac:dyDescent="0.2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</row>
    <row r="76" spans="1:24" ht="30" customHeight="1" x14ac:dyDescent="0.2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</row>
  </sheetData>
  <mergeCells count="38">
    <mergeCell ref="Q60:S62"/>
    <mergeCell ref="J51:K53"/>
    <mergeCell ref="L51:M53"/>
    <mergeCell ref="Q40:S42"/>
    <mergeCell ref="Q45:S47"/>
    <mergeCell ref="Q55:S57"/>
    <mergeCell ref="Q64:S67"/>
    <mergeCell ref="Q49:S52"/>
    <mergeCell ref="A2:D4"/>
    <mergeCell ref="U30:X34"/>
    <mergeCell ref="N33:P36"/>
    <mergeCell ref="N22:P24"/>
    <mergeCell ref="Q22:S24"/>
    <mergeCell ref="N27:P29"/>
    <mergeCell ref="Q27:S29"/>
    <mergeCell ref="Q33:S36"/>
    <mergeCell ref="U46:X50"/>
    <mergeCell ref="U61:X65"/>
    <mergeCell ref="I2:N11"/>
    <mergeCell ref="L48:M50"/>
    <mergeCell ref="L61:M63"/>
    <mergeCell ref="N60:P62"/>
    <mergeCell ref="Z31:AB33"/>
    <mergeCell ref="Z47:AB49"/>
    <mergeCell ref="Z62:AB64"/>
    <mergeCell ref="J64:K66"/>
    <mergeCell ref="L64:M66"/>
    <mergeCell ref="J32:K34"/>
    <mergeCell ref="L32:M34"/>
    <mergeCell ref="J29:K31"/>
    <mergeCell ref="L29:M31"/>
    <mergeCell ref="N64:P67"/>
    <mergeCell ref="N40:P42"/>
    <mergeCell ref="N45:P47"/>
    <mergeCell ref="N49:P52"/>
    <mergeCell ref="N55:P57"/>
    <mergeCell ref="J48:K50"/>
    <mergeCell ref="J61:K63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81842-F945-C043-B4A0-AFCD89830EF8}">
  <dimension ref="A1:L16"/>
  <sheetViews>
    <sheetView zoomScale="150" workbookViewId="0">
      <selection activeCell="G21" sqref="G21"/>
    </sheetView>
  </sheetViews>
  <sheetFormatPr baseColWidth="10" defaultRowHeight="14" x14ac:dyDescent="0.2"/>
  <cols>
    <col min="1" max="2" width="14" style="82" customWidth="1"/>
    <col min="3" max="4" width="16" style="82" customWidth="1"/>
    <col min="5" max="5" width="12" style="82" customWidth="1"/>
    <col min="6" max="6" width="14" style="82" customWidth="1"/>
    <col min="7" max="8" width="16" style="82" customWidth="1"/>
    <col min="9" max="9" width="14" style="82" customWidth="1"/>
    <col min="10" max="11" width="16" style="82" customWidth="1"/>
    <col min="12" max="12" width="18" style="82" customWidth="1"/>
    <col min="13" max="16384" width="11" style="82"/>
  </cols>
  <sheetData>
    <row r="1" spans="1:12" ht="19" x14ac:dyDescent="0.25">
      <c r="A1" s="131" t="s">
        <v>212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3" spans="1:12" ht="30" x14ac:dyDescent="0.2">
      <c r="A3" s="95" t="s">
        <v>202</v>
      </c>
      <c r="B3" s="95" t="s">
        <v>211</v>
      </c>
      <c r="C3" s="95" t="s">
        <v>210</v>
      </c>
      <c r="D3" s="95" t="s">
        <v>209</v>
      </c>
      <c r="E3" s="95" t="s">
        <v>117</v>
      </c>
      <c r="F3" s="95" t="s">
        <v>208</v>
      </c>
      <c r="G3" s="95" t="s">
        <v>207</v>
      </c>
      <c r="H3" s="95" t="s">
        <v>206</v>
      </c>
      <c r="I3" s="95" t="s">
        <v>147</v>
      </c>
      <c r="J3" s="95" t="s">
        <v>205</v>
      </c>
      <c r="K3" s="95" t="s">
        <v>146</v>
      </c>
      <c r="L3" s="95" t="s">
        <v>201</v>
      </c>
    </row>
    <row r="4" spans="1:12" x14ac:dyDescent="0.2">
      <c r="A4" s="82" t="s">
        <v>156</v>
      </c>
      <c r="B4" s="100">
        <v>22</v>
      </c>
      <c r="C4" s="98">
        <f>DCF!E22</f>
        <v>163044.3542</v>
      </c>
      <c r="D4" s="98">
        <f>DCF!E23</f>
        <v>57065.523969999995</v>
      </c>
      <c r="E4" s="99">
        <f>Forecast!I87</f>
        <v>0.08</v>
      </c>
      <c r="F4" s="97">
        <f>C4*E4</f>
        <v>13043.548336</v>
      </c>
      <c r="G4" s="97">
        <f>D4+F4</f>
        <v>70109.072305999987</v>
      </c>
      <c r="H4" s="97">
        <f>G4*B4</f>
        <v>1542399.5907319998</v>
      </c>
      <c r="I4" s="98">
        <f>DCF!$G$12</f>
        <v>98252</v>
      </c>
      <c r="J4" s="98">
        <f>DCF!$G$13</f>
        <v>4954</v>
      </c>
      <c r="K4" s="97">
        <f>H4-I4-J4</f>
        <v>1439193.5907319998</v>
      </c>
      <c r="L4" s="96">
        <f>K4/DCF!$G$14</f>
        <v>502.16105747801811</v>
      </c>
    </row>
    <row r="5" spans="1:12" x14ac:dyDescent="0.2">
      <c r="A5" s="82" t="s">
        <v>157</v>
      </c>
      <c r="B5" s="100">
        <v>18</v>
      </c>
      <c r="C5" s="98">
        <f>DCF!E42</f>
        <v>134882.39249999999</v>
      </c>
      <c r="D5" s="98">
        <f>DCF!E43</f>
        <v>43836.777562499999</v>
      </c>
      <c r="E5" s="99">
        <f>Forecast!I112</f>
        <v>0.08</v>
      </c>
      <c r="F5" s="97">
        <f>C5*E5</f>
        <v>10790.591399999999</v>
      </c>
      <c r="G5" s="97">
        <f>D5+F5</f>
        <v>54627.368962499997</v>
      </c>
      <c r="H5" s="97">
        <f>G5*B5</f>
        <v>983292.64132499998</v>
      </c>
      <c r="I5" s="98">
        <f>DCF!$G$12</f>
        <v>98252</v>
      </c>
      <c r="J5" s="98">
        <f>DCF!$G$13</f>
        <v>4954</v>
      </c>
      <c r="K5" s="97">
        <f>H5-I5-J5</f>
        <v>880086.64132499998</v>
      </c>
      <c r="L5" s="96">
        <f>K5/DCF!$G$14</f>
        <v>307.07838148115837</v>
      </c>
    </row>
    <row r="6" spans="1:12" x14ac:dyDescent="0.2">
      <c r="A6" s="82" t="s">
        <v>158</v>
      </c>
      <c r="B6" s="100">
        <v>15</v>
      </c>
      <c r="C6" s="98">
        <f>DCF!E57</f>
        <v>33998.108964999992</v>
      </c>
      <c r="D6" s="98">
        <f>DCF!E58</f>
        <v>27744.496801977893</v>
      </c>
      <c r="E6" s="99">
        <f>Forecast!I134</f>
        <v>0.08</v>
      </c>
      <c r="F6" s="97">
        <f>C6*E6</f>
        <v>2719.8487171999996</v>
      </c>
      <c r="G6" s="97">
        <f>D6+F6</f>
        <v>30464.345519177892</v>
      </c>
      <c r="H6" s="97">
        <f>G6*B6</f>
        <v>456965.18278766837</v>
      </c>
      <c r="I6" s="98">
        <f>DCF!$G$12</f>
        <v>98252</v>
      </c>
      <c r="J6" s="98">
        <f>DCF!$G$13</f>
        <v>4954</v>
      </c>
      <c r="K6" s="97">
        <f>H6-I6-J6</f>
        <v>353759.18278766837</v>
      </c>
      <c r="L6" s="96">
        <f>K6/DCF!$G$14</f>
        <v>123.43307145417599</v>
      </c>
    </row>
    <row r="9" spans="1:12" x14ac:dyDescent="0.2">
      <c r="A9" s="132" t="s">
        <v>204</v>
      </c>
      <c r="B9" s="132"/>
      <c r="C9" s="132"/>
      <c r="D9" s="132"/>
      <c r="F9" s="132" t="s">
        <v>203</v>
      </c>
      <c r="G9" s="132"/>
      <c r="H9" s="132"/>
      <c r="I9" s="132"/>
    </row>
    <row r="10" spans="1:12" ht="30" x14ac:dyDescent="0.2">
      <c r="A10" s="95" t="s">
        <v>202</v>
      </c>
      <c r="B10" s="95" t="s">
        <v>201</v>
      </c>
      <c r="C10" s="95" t="s">
        <v>137</v>
      </c>
      <c r="D10" s="95" t="s">
        <v>200</v>
      </c>
      <c r="F10" s="95" t="s">
        <v>199</v>
      </c>
      <c r="G10" s="95" t="s">
        <v>158</v>
      </c>
      <c r="H10" s="95" t="s">
        <v>157</v>
      </c>
      <c r="I10" s="95" t="s">
        <v>156</v>
      </c>
    </row>
    <row r="11" spans="1:12" x14ac:dyDescent="0.2">
      <c r="A11" s="82" t="s">
        <v>156</v>
      </c>
      <c r="B11" s="93">
        <f>L4</f>
        <v>502.16105747801811</v>
      </c>
      <c r="C11" s="94">
        <f>DCF!$B$8</f>
        <v>0.11375</v>
      </c>
      <c r="D11" s="93">
        <f>B11/(1+C11)^3</f>
        <v>363.4794640963849</v>
      </c>
      <c r="F11" s="82" t="s">
        <v>198</v>
      </c>
      <c r="G11" s="93">
        <f>L6</f>
        <v>123.43307145417599</v>
      </c>
      <c r="H11" s="93">
        <f>L5</f>
        <v>307.07838148115837</v>
      </c>
      <c r="I11" s="93">
        <f>L4</f>
        <v>502.16105747801811</v>
      </c>
    </row>
    <row r="12" spans="1:12" x14ac:dyDescent="0.2">
      <c r="A12" s="82" t="s">
        <v>157</v>
      </c>
      <c r="B12" s="93">
        <f>L5</f>
        <v>307.07838148115837</v>
      </c>
      <c r="C12" s="94">
        <f>DCF!$B$8</f>
        <v>0.11375</v>
      </c>
      <c r="D12" s="93">
        <f>B12/(1+C12)^3</f>
        <v>222.27268298526448</v>
      </c>
      <c r="F12" s="82" t="s">
        <v>197</v>
      </c>
      <c r="G12" s="93">
        <f>D13</f>
        <v>89.344615628420442</v>
      </c>
      <c r="H12" s="93">
        <f>D12</f>
        <v>222.27268298526448</v>
      </c>
      <c r="I12" s="93">
        <f>D11</f>
        <v>363.4794640963849</v>
      </c>
    </row>
    <row r="13" spans="1:12" x14ac:dyDescent="0.2">
      <c r="A13" s="82" t="s">
        <v>158</v>
      </c>
      <c r="B13" s="93">
        <f>L6</f>
        <v>123.43307145417599</v>
      </c>
      <c r="C13" s="94">
        <f>DCF!$B$8</f>
        <v>0.11375</v>
      </c>
      <c r="D13" s="93">
        <f>B13/(1+C13)^3</f>
        <v>89.344615628420442</v>
      </c>
    </row>
    <row r="16" spans="1:12" x14ac:dyDescent="0.2">
      <c r="A16" s="133" t="s">
        <v>196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</row>
  </sheetData>
  <mergeCells count="4">
    <mergeCell ref="A1:L1"/>
    <mergeCell ref="A9:D9"/>
    <mergeCell ref="F9:I9"/>
    <mergeCell ref="A16:L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6171-A1C2-C140-953B-466263C6A551}">
  <dimension ref="A18:G28"/>
  <sheetViews>
    <sheetView zoomScale="67" zoomScaleNormal="138" workbookViewId="0">
      <selection activeCell="B23" sqref="B23"/>
    </sheetView>
  </sheetViews>
  <sheetFormatPr baseColWidth="10" defaultColWidth="21" defaultRowHeight="23" customHeight="1" x14ac:dyDescent="0.2"/>
  <cols>
    <col min="1" max="1" width="26" customWidth="1"/>
  </cols>
  <sheetData>
    <row r="18" spans="1:7" ht="23" customHeight="1" x14ac:dyDescent="0.2">
      <c r="A18" s="134" t="s">
        <v>219</v>
      </c>
      <c r="B18" s="135"/>
      <c r="C18" s="135"/>
      <c r="D18" s="135"/>
      <c r="E18" s="135"/>
      <c r="F18" s="135"/>
      <c r="G18" s="135"/>
    </row>
    <row r="19" spans="1:7" ht="23" customHeight="1" x14ac:dyDescent="0.2">
      <c r="A19" s="135"/>
      <c r="B19" s="135"/>
      <c r="C19" s="135"/>
      <c r="D19" s="135"/>
      <c r="E19" s="135"/>
      <c r="F19" s="135"/>
      <c r="G19" s="135"/>
    </row>
    <row r="20" spans="1:7" ht="23" customHeight="1" x14ac:dyDescent="0.2">
      <c r="A20" s="135"/>
      <c r="B20" s="135"/>
      <c r="C20" s="135"/>
      <c r="D20" s="135"/>
      <c r="E20" s="135"/>
      <c r="F20" s="135"/>
      <c r="G20" s="135"/>
    </row>
    <row r="21" spans="1:7" ht="23" customHeight="1" x14ac:dyDescent="0.2">
      <c r="A21" s="135"/>
      <c r="B21" s="135"/>
      <c r="C21" s="135"/>
      <c r="D21" s="135"/>
      <c r="E21" s="135"/>
      <c r="F21" s="135"/>
      <c r="G21" s="135"/>
    </row>
    <row r="22" spans="1:7" ht="23" customHeight="1" x14ac:dyDescent="0.2">
      <c r="A22" s="135"/>
      <c r="B22" s="135"/>
      <c r="C22" s="135"/>
      <c r="D22" s="135"/>
      <c r="E22" s="135"/>
      <c r="F22" s="135"/>
      <c r="G22" s="135"/>
    </row>
    <row r="23" spans="1:7" ht="23" customHeight="1" x14ac:dyDescent="0.35">
      <c r="A23" s="102" t="s">
        <v>199</v>
      </c>
      <c r="B23" s="103" t="s">
        <v>216</v>
      </c>
      <c r="C23" s="102" t="s">
        <v>215</v>
      </c>
      <c r="D23" s="103" t="s">
        <v>213</v>
      </c>
      <c r="E23" s="2"/>
      <c r="F23" s="2"/>
    </row>
    <row r="24" spans="1:7" ht="23" customHeight="1" x14ac:dyDescent="0.35">
      <c r="A24" s="102" t="s">
        <v>217</v>
      </c>
      <c r="B24" s="104">
        <f>DCF!Z62</f>
        <v>101.42021792047309</v>
      </c>
      <c r="C24" s="105">
        <v>173.35925928997113</v>
      </c>
      <c r="D24" s="104">
        <v>173.213622833795</v>
      </c>
      <c r="E24" s="7"/>
      <c r="F24" s="7"/>
    </row>
    <row r="25" spans="1:7" ht="23" customHeight="1" x14ac:dyDescent="0.35">
      <c r="A25" s="102" t="s">
        <v>214</v>
      </c>
      <c r="B25" s="104">
        <f>'EV EBITDA '!G12</f>
        <v>89.344615628420442</v>
      </c>
      <c r="C25" s="105">
        <v>274.13484846796445</v>
      </c>
      <c r="D25" s="104">
        <v>222.27268298526448</v>
      </c>
      <c r="E25" s="7"/>
      <c r="F25" s="7"/>
    </row>
    <row r="26" spans="1:7" ht="23" customHeight="1" x14ac:dyDescent="0.35">
      <c r="A26" s="102" t="s">
        <v>218</v>
      </c>
      <c r="B26" s="104">
        <f>Comps!E22</f>
        <v>176.77575031634737</v>
      </c>
      <c r="C26" s="105">
        <v>161.24552285156906</v>
      </c>
      <c r="D26" s="104">
        <v>242.61546000955411</v>
      </c>
      <c r="E26" s="7"/>
      <c r="F26" s="7"/>
    </row>
    <row r="27" spans="1:7" ht="23" customHeight="1" x14ac:dyDescent="0.35">
      <c r="A27" s="102"/>
      <c r="B27" s="105"/>
      <c r="C27" s="105"/>
      <c r="D27" s="105"/>
    </row>
    <row r="28" spans="1:7" ht="23" customHeight="1" x14ac:dyDescent="0.35">
      <c r="A28" s="101"/>
      <c r="B28" s="101"/>
      <c r="C28" s="101"/>
      <c r="D28" s="101"/>
    </row>
  </sheetData>
  <mergeCells count="1">
    <mergeCell ref="A18:G2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8768-CB91-D44C-A73C-3136551E1502}">
  <dimension ref="A1:E22"/>
  <sheetViews>
    <sheetView zoomScale="190" workbookViewId="0">
      <selection activeCell="C17" sqref="C17"/>
    </sheetView>
  </sheetViews>
  <sheetFormatPr baseColWidth="10" defaultRowHeight="14" x14ac:dyDescent="0.2"/>
  <sheetData>
    <row r="1" spans="1:5" x14ac:dyDescent="0.2">
      <c r="A1" s="108" t="s">
        <v>193</v>
      </c>
      <c r="B1" s="108" t="s">
        <v>192</v>
      </c>
      <c r="C1" s="108" t="s">
        <v>191</v>
      </c>
    </row>
    <row r="2" spans="1:5" x14ac:dyDescent="0.2">
      <c r="A2" s="107" t="s">
        <v>190</v>
      </c>
      <c r="B2" t="s">
        <v>189</v>
      </c>
      <c r="C2">
        <v>22.8</v>
      </c>
    </row>
    <row r="3" spans="1:5" x14ac:dyDescent="0.2">
      <c r="A3" s="107" t="s">
        <v>188</v>
      </c>
      <c r="B3" t="s">
        <v>187</v>
      </c>
      <c r="C3">
        <v>31</v>
      </c>
    </row>
    <row r="4" spans="1:5" x14ac:dyDescent="0.2">
      <c r="A4" s="107" t="s">
        <v>186</v>
      </c>
      <c r="B4" t="s">
        <v>186</v>
      </c>
      <c r="C4">
        <v>33</v>
      </c>
    </row>
    <row r="5" spans="1:5" x14ac:dyDescent="0.2">
      <c r="A5" s="107" t="s">
        <v>185</v>
      </c>
      <c r="B5" t="s">
        <v>184</v>
      </c>
      <c r="C5">
        <v>25</v>
      </c>
    </row>
    <row r="6" spans="1:5" x14ac:dyDescent="0.2">
      <c r="A6" s="107" t="s">
        <v>183</v>
      </c>
      <c r="B6" t="s">
        <v>182</v>
      </c>
      <c r="C6">
        <v>52</v>
      </c>
    </row>
    <row r="7" spans="1:5" x14ac:dyDescent="0.2">
      <c r="A7" s="107" t="s">
        <v>181</v>
      </c>
      <c r="B7" t="s">
        <v>180</v>
      </c>
      <c r="C7">
        <v>35</v>
      </c>
    </row>
    <row r="9" spans="1:5" x14ac:dyDescent="0.2">
      <c r="A9" s="107" t="s">
        <v>179</v>
      </c>
      <c r="B9" s="106"/>
      <c r="C9">
        <f>MEDIAN(C2:C7)</f>
        <v>32</v>
      </c>
    </row>
    <row r="12" spans="1:5" x14ac:dyDescent="0.2">
      <c r="C12" s="107" t="s">
        <v>156</v>
      </c>
      <c r="D12" s="107" t="s">
        <v>157</v>
      </c>
      <c r="E12" s="107" t="s">
        <v>158</v>
      </c>
    </row>
    <row r="13" spans="1:5" x14ac:dyDescent="0.2">
      <c r="A13" s="107" t="s">
        <v>194</v>
      </c>
      <c r="B13" s="106"/>
      <c r="C13" s="41">
        <f>DCF!E30</f>
        <v>16.058238445157997</v>
      </c>
      <c r="D13" s="41">
        <f>DCF!E50</f>
        <v>12.335669206087498</v>
      </c>
      <c r="E13" s="41">
        <f>DCF!E64</f>
        <v>9.5670678627509975</v>
      </c>
    </row>
    <row r="14" spans="1:5" x14ac:dyDescent="0.2">
      <c r="A14" s="107" t="s">
        <v>178</v>
      </c>
      <c r="B14" s="106"/>
      <c r="C14" s="41">
        <f>C13*$C$9</f>
        <v>513.8636302450559</v>
      </c>
      <c r="D14" s="41">
        <f t="shared" ref="D14:E14" si="0">D13*$C$9</f>
        <v>394.74141459479995</v>
      </c>
      <c r="E14" s="41">
        <f t="shared" si="0"/>
        <v>306.14617160803192</v>
      </c>
    </row>
    <row r="15" spans="1:5" x14ac:dyDescent="0.2">
      <c r="A15" s="107" t="s">
        <v>177</v>
      </c>
      <c r="B15" s="106"/>
      <c r="C15" s="91">
        <f>C14/(1+DCF!$B$15)^3</f>
        <v>385.4738039312594</v>
      </c>
      <c r="D15" s="91">
        <f>D14/(1+DCF!$B$15)^3</f>
        <v>296.11450528323883</v>
      </c>
      <c r="E15" s="91">
        <f>E14/(1+DCF!$B$15)^3</f>
        <v>229.65495587314066</v>
      </c>
    </row>
    <row r="16" spans="1:5" x14ac:dyDescent="0.2">
      <c r="A16" s="107" t="s">
        <v>195</v>
      </c>
      <c r="B16" s="106"/>
      <c r="C16" s="91">
        <f>DCF!Q33</f>
        <v>195.66368087788766</v>
      </c>
      <c r="D16" s="91">
        <f>DCF!Q49</f>
        <v>82.11832418849994</v>
      </c>
      <c r="E16" s="91">
        <f>DCF!Q64</f>
        <v>18.138133645967461</v>
      </c>
    </row>
    <row r="19" spans="1:5" x14ac:dyDescent="0.2">
      <c r="A19" s="107" t="s">
        <v>176</v>
      </c>
      <c r="B19" s="92">
        <v>0.25</v>
      </c>
    </row>
    <row r="20" spans="1:5" x14ac:dyDescent="0.2">
      <c r="A20" s="107" t="s">
        <v>175</v>
      </c>
      <c r="B20" s="92">
        <v>0.75</v>
      </c>
    </row>
    <row r="22" spans="1:5" x14ac:dyDescent="0.2">
      <c r="A22" s="107" t="s">
        <v>174</v>
      </c>
      <c r="B22" s="107"/>
      <c r="C22" s="91">
        <f>C15*$B$20+C16*$B$19</f>
        <v>338.02127316791643</v>
      </c>
      <c r="D22" s="91">
        <f t="shared" ref="D22:E22" si="1">D15*$B$20+D16*$B$19</f>
        <v>242.61546000955411</v>
      </c>
      <c r="E22" s="91">
        <f t="shared" si="1"/>
        <v>176.77575031634737</v>
      </c>
    </row>
  </sheetData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FB4B7-01C6-2446-B908-3AADD722F523}">
  <dimension ref="A1:H40"/>
  <sheetViews>
    <sheetView zoomScale="93" workbookViewId="0">
      <selection activeCell="G10" sqref="G10"/>
    </sheetView>
  </sheetViews>
  <sheetFormatPr baseColWidth="10" defaultRowHeight="14" x14ac:dyDescent="0.2"/>
  <cols>
    <col min="1" max="1" width="22" style="82" customWidth="1"/>
    <col min="2" max="4" width="14" style="82" customWidth="1"/>
    <col min="5" max="5" width="11" style="82"/>
    <col min="6" max="8" width="18" style="82" customWidth="1"/>
    <col min="9" max="16384" width="11" style="82"/>
  </cols>
  <sheetData>
    <row r="1" spans="1:8" ht="22" x14ac:dyDescent="0.2">
      <c r="A1" s="80" t="s">
        <v>162</v>
      </c>
      <c r="B1" s="81"/>
      <c r="C1" s="81"/>
      <c r="D1" s="81"/>
      <c r="E1" s="81"/>
      <c r="F1" s="81"/>
      <c r="G1" s="81"/>
      <c r="H1" s="81"/>
    </row>
    <row r="2" spans="1:8" x14ac:dyDescent="0.2">
      <c r="A2" s="83" t="s">
        <v>163</v>
      </c>
      <c r="B2" s="83"/>
      <c r="C2" s="83"/>
      <c r="D2" s="83"/>
      <c r="E2" s="83"/>
      <c r="F2" s="83"/>
      <c r="G2" s="83"/>
      <c r="H2" s="83"/>
    </row>
    <row r="3" spans="1:8" x14ac:dyDescent="0.2">
      <c r="A3" s="81"/>
      <c r="B3" s="81"/>
      <c r="C3" s="81"/>
      <c r="D3" s="81"/>
      <c r="E3" s="81"/>
      <c r="F3" s="81"/>
      <c r="G3" s="81"/>
      <c r="H3" s="81"/>
    </row>
    <row r="4" spans="1:8" x14ac:dyDescent="0.2">
      <c r="A4" s="136" t="s">
        <v>164</v>
      </c>
      <c r="B4" s="136"/>
      <c r="C4" s="136"/>
      <c r="D4" s="136"/>
      <c r="E4" s="81"/>
      <c r="F4" s="84" t="s">
        <v>165</v>
      </c>
      <c r="G4" s="84" t="s">
        <v>166</v>
      </c>
      <c r="H4" s="84" t="s">
        <v>167</v>
      </c>
    </row>
    <row r="5" spans="1:8" x14ac:dyDescent="0.2">
      <c r="A5" s="85" t="s">
        <v>168</v>
      </c>
      <c r="B5" s="86">
        <v>0.03</v>
      </c>
      <c r="C5" s="86">
        <v>3.5000000000000003E-2</v>
      </c>
      <c r="D5" s="86">
        <v>0.04</v>
      </c>
      <c r="E5" s="81"/>
      <c r="F5" s="87" t="s">
        <v>169</v>
      </c>
      <c r="G5" s="88">
        <f>D8</f>
        <v>274.77947721044421</v>
      </c>
      <c r="H5" s="88">
        <f>DCF!$Z$31</f>
        <v>274.77947721044421</v>
      </c>
    </row>
    <row r="6" spans="1:8" x14ac:dyDescent="0.2">
      <c r="A6" s="89">
        <f>DCF!$B$15-1%</f>
        <v>9.0570000000000012E-2</v>
      </c>
      <c r="B6" s="88">
        <f>0.75*(DCF!$L$29/(1+$A6)^3)+0.25*((NPV($A6,DCF!$C$27:'DCF'!$G$27,DCF!$H$27+DCF!$H$27*(1+B$5)/($A6-B$5))-DCF!$G$12-DCF!$G$13)/DCF!$E$29)</f>
        <v>283.7602872953143</v>
      </c>
      <c r="C6" s="88">
        <f>0.75*(DCF!$L$29/(1+$A6)^3)+0.25*((NPV($A6,DCF!$C$27:'DCF'!$G$27,DCF!$H$27+DCF!$H$27*(1+C$5)/($A6-C$5))-DCF!$G$12-DCF!$G$13)/DCF!$E$29)</f>
        <v>288.77227089426623</v>
      </c>
      <c r="D6" s="88">
        <f>0.75*(DCF!$L$29/(1+$A6)^3)+0.25*((NPV($A6,DCF!$C$27:'DCF'!$G$27,DCF!$H$27+DCF!$H$27*(1+D$5)/($A6-D$5))-DCF!$G$12-DCF!$G$13)/DCF!$E$29)</f>
        <v>294.77535269352506</v>
      </c>
      <c r="E6" s="81"/>
      <c r="F6" s="87" t="s">
        <v>170</v>
      </c>
      <c r="G6" s="88">
        <f>C18</f>
        <v>173.213622833795</v>
      </c>
      <c r="H6" s="88">
        <f>DCF!$Z$47</f>
        <v>173.213622833795</v>
      </c>
    </row>
    <row r="7" spans="1:8" x14ac:dyDescent="0.2">
      <c r="A7" s="89">
        <f>DCF!$B$15-0.5%</f>
        <v>9.5570000000000002E-2</v>
      </c>
      <c r="B7" s="88">
        <f>0.75*(DCF!$L$29/(1+$A7)^3)+0.25*((NPV($A7,DCF!$C$27:'DCF'!$G$27,DCF!$H$27+DCF!$H$27*(1+B$5)/($A7-B$5))-DCF!$G$12-DCF!$G$13)/DCF!$E$29)</f>
        <v>275.07124737923704</v>
      </c>
      <c r="C7" s="88">
        <f>0.75*(DCF!$L$29/(1+$A7)^3)+0.25*((NPV($A7,DCF!$C$27:'DCF'!$G$27,DCF!$H$27+DCF!$H$27*(1+C$5)/($A7-C$5))-DCF!$G$12-DCF!$G$13)/DCF!$E$29)</f>
        <v>279.222813225783</v>
      </c>
      <c r="D7" s="88">
        <f>0.75*(DCF!$L$29/(1+$A7)^3)+0.25*((NPV($A7,DCF!$C$27:'DCF'!$G$27,DCF!$H$27+DCF!$H$27*(1+D$5)/($A7-D$5))-DCF!$G$12-DCF!$G$13)/DCF!$E$29)</f>
        <v>284.12146668192872</v>
      </c>
      <c r="E7" s="81"/>
      <c r="F7" s="87" t="s">
        <v>171</v>
      </c>
      <c r="G7" s="88">
        <f>B28</f>
        <v>101.42021792047309</v>
      </c>
      <c r="H7" s="88">
        <f>DCF!$Z$62</f>
        <v>101.42021792047309</v>
      </c>
    </row>
    <row r="8" spans="1:8" x14ac:dyDescent="0.2">
      <c r="A8" s="89">
        <f>DCF!$B$15</f>
        <v>0.10057000000000001</v>
      </c>
      <c r="B8" s="88">
        <f>0.75*(DCF!$L$29/(1+$A8)^3)+0.25*((NPV($A8,DCF!$C$27:'DCF'!$G$27,DCF!$H$27+DCF!$H$27*(1+B$5)/($A8-B$5))-DCF!$G$12-DCF!$G$13)/DCF!$E$29)</f>
        <v>267.2382973711675</v>
      </c>
      <c r="C8" s="88">
        <f>0.75*(DCF!$L$29/(1+$A8)^3)+0.25*((NPV($A8,DCF!$C$27:'DCF'!$G$27,DCF!$H$27+DCF!$H$27*(1+C$5)/($A8-C$5))-DCF!$G$12-DCF!$G$13)/DCF!$E$29)</f>
        <v>270.72136327680261</v>
      </c>
      <c r="D8" s="90">
        <f>0.75*(DCF!$L$29/(1+$A8)^3)+0.25*((NPV($A8,DCF!$C$27:'DCF'!$G$27,DCF!$H$27+DCF!$H$27*(1+D$5)/($A8-D$5))-DCF!$G$12-DCF!$G$13)/DCF!$E$29)</f>
        <v>274.77947721044421</v>
      </c>
      <c r="E8" s="81"/>
      <c r="F8" s="81"/>
      <c r="G8" s="81"/>
      <c r="H8" s="81"/>
    </row>
    <row r="9" spans="1:8" x14ac:dyDescent="0.2">
      <c r="A9" s="89">
        <f>DCF!$B$15+0.5%</f>
        <v>0.10557000000000001</v>
      </c>
      <c r="B9" s="88">
        <f>0.75*(DCF!$L$29/(1+$A9)^3)+0.25*((NPV($A9,DCF!$C$27:'DCF'!$G$27,DCF!$H$27+DCF!$H$27*(1+B$5)/($A9-B$5))-DCF!$G$12-DCF!$G$13)/DCF!$E$29)</f>
        <v>260.10121415540317</v>
      </c>
      <c r="C9" s="88">
        <f>0.75*(DCF!$L$29/(1+$A9)^3)+0.25*((NPV($A9,DCF!$C$27:'DCF'!$G$27,DCF!$H$27+DCF!$H$27*(1+C$5)/($A9-C$5))-DCF!$G$12-DCF!$G$13)/DCF!$E$29)</f>
        <v>263.05565009786488</v>
      </c>
      <c r="D9" s="88">
        <f>0.75*(DCF!$L$29/(1+$A9)^3)+0.25*((NPV($A9,DCF!$C$27:'DCF'!$G$27,DCF!$H$27+DCF!$H$27*(1+D$5)/($A9-D$5))-DCF!$G$12-DCF!$G$13)/DCF!$E$29)</f>
        <v>266.46066342975189</v>
      </c>
      <c r="E9" s="81"/>
      <c r="F9" s="81"/>
      <c r="G9" s="81"/>
      <c r="H9" s="81"/>
    </row>
    <row r="10" spans="1:8" x14ac:dyDescent="0.2">
      <c r="A10" s="89">
        <f>DCF!$B$15+1%</f>
        <v>0.11057</v>
      </c>
      <c r="B10" s="88">
        <f>0.75*(DCF!$L$29/(1+$A10)^3)+0.25*((NPV($A10,DCF!$C$27:'DCF'!$G$27,DCF!$H$27+DCF!$H$27*(1+B$5)/($A10-B$5))-DCF!$G$12-DCF!$G$13)/DCF!$E$29)</f>
        <v>253.53927226891227</v>
      </c>
      <c r="C10" s="88">
        <f>0.75*(DCF!$L$29/(1+$A10)^3)+0.25*((NPV($A10,DCF!$C$27:'DCF'!$G$27,DCF!$H$27+DCF!$H$27*(1+C$5)/($A10-C$5))-DCF!$G$12-DCF!$G$13)/DCF!$E$29)</f>
        <v>256.06928595855157</v>
      </c>
      <c r="D10" s="88">
        <f>0.75*(DCF!$L$29/(1+$A10)^3)+0.25*((NPV($A10,DCF!$C$27:'DCF'!$G$27,DCF!$H$27+DCF!$H$27*(1+D$5)/($A10-D$5))-DCF!$G$12-DCF!$G$13)/DCF!$E$29)</f>
        <v>258.95781086962199</v>
      </c>
      <c r="E10" s="81"/>
      <c r="F10" s="81"/>
      <c r="G10" s="81"/>
      <c r="H10" s="81"/>
    </row>
    <row r="11" spans="1:8" x14ac:dyDescent="0.2">
      <c r="A11" s="81"/>
      <c r="B11" s="81"/>
      <c r="C11" s="81"/>
      <c r="D11" s="81"/>
      <c r="E11" s="81"/>
      <c r="F11" s="81"/>
      <c r="G11" s="81"/>
      <c r="H11" s="81"/>
    </row>
    <row r="12" spans="1:8" x14ac:dyDescent="0.2">
      <c r="A12" s="81"/>
      <c r="B12" s="81"/>
      <c r="C12" s="81"/>
      <c r="D12" s="81"/>
      <c r="E12" s="81"/>
      <c r="F12" s="81"/>
      <c r="G12" s="81"/>
      <c r="H12" s="81"/>
    </row>
    <row r="13" spans="1:8" x14ac:dyDescent="0.2">
      <c r="A13" s="81"/>
      <c r="B13" s="81"/>
      <c r="C13" s="81"/>
      <c r="D13" s="81"/>
      <c r="E13" s="81"/>
      <c r="F13" s="81"/>
      <c r="G13" s="81"/>
      <c r="H13" s="81"/>
    </row>
    <row r="14" spans="1:8" x14ac:dyDescent="0.2">
      <c r="A14" s="136" t="s">
        <v>172</v>
      </c>
      <c r="B14" s="136"/>
      <c r="C14" s="136"/>
      <c r="D14" s="136"/>
      <c r="E14" s="81"/>
      <c r="F14" s="81"/>
      <c r="G14" s="81"/>
      <c r="H14" s="81"/>
    </row>
    <row r="15" spans="1:8" x14ac:dyDescent="0.2">
      <c r="A15" s="85" t="s">
        <v>168</v>
      </c>
      <c r="B15" s="86">
        <v>0.03</v>
      </c>
      <c r="C15" s="86">
        <v>3.5000000000000003E-2</v>
      </c>
      <c r="D15" s="86">
        <v>0.04</v>
      </c>
      <c r="E15" s="81"/>
      <c r="F15" s="81"/>
      <c r="G15" s="81"/>
      <c r="H15" s="81"/>
    </row>
    <row r="16" spans="1:8" x14ac:dyDescent="0.2">
      <c r="A16" s="89">
        <f>DCF!$B$15-1%</f>
        <v>9.0570000000000012E-2</v>
      </c>
      <c r="B16" s="88">
        <f>0.75*(DCF!$L$48/(1+$A16)^3)+0.25*((NPV($A16,DCF!$C$47:'DCF'!$G$47,DCF!$H$47+DCF!$H$47*(1+B$15)/($A16-B$15))-DCF!$G$12-DCF!$G$13)/DCF!$G$14)</f>
        <v>181.32221235278476</v>
      </c>
      <c r="C16" s="88">
        <f>0.75*(DCF!$L$48/(1+$A16)^3)+0.25*((NPV($A16,DCF!$C$47:'DCF'!$G$47,DCF!$H$47+DCF!$H$47*(1+C$15)/($A16-C$15))-DCF!$G$12-DCF!$G$13)/DCF!$G$14)</f>
        <v>184.20292458395548</v>
      </c>
      <c r="D16" s="88">
        <f>0.75*(DCF!$L$48/(1+$A16)^3)+0.25*((NPV($A16,DCF!$C$47:'DCF'!$G$47,DCF!$H$47+DCF!$H$47*(1+D$15)/($A16-D$15))-DCF!$G$12-DCF!$G$13)/DCF!$G$14)</f>
        <v>187.65328526898637</v>
      </c>
      <c r="E16" s="81"/>
      <c r="F16" s="81"/>
      <c r="G16" s="81"/>
      <c r="H16" s="81"/>
    </row>
    <row r="17" spans="1:8" x14ac:dyDescent="0.2">
      <c r="A17" s="89">
        <f>DCF!$B$15-0.5%</f>
        <v>9.5570000000000002E-2</v>
      </c>
      <c r="B17" s="88">
        <f>0.75*(DCF!$L$48/(1+$A17)^3)+0.25*((NPV($A17,DCF!$C$47:'DCF'!$G$47,DCF!$H$47+DCF!$H$47*(1+B$15)/($A17-B$15))-DCF!$G$12-DCF!$G$13)/DCF!$G$14)</f>
        <v>176.01809700321499</v>
      </c>
      <c r="C17" s="88">
        <f>0.75*(DCF!$L$48/(1+$A17)^3)+0.25*((NPV($A17,DCF!$C$47:'DCF'!$G$47,DCF!$H$47+DCF!$H$47*(1+C$15)/($A17-C$15))-DCF!$G$12-DCF!$G$13)/DCF!$G$14)</f>
        <v>178.40427131455084</v>
      </c>
      <c r="D17" s="88">
        <f>0.75*(DCF!$L$48/(1+$A17)^3)+0.25*((NPV($A17,DCF!$C$47:'DCF'!$G$47,DCF!$H$47+DCF!$H$47*(1+D$15)/($A17-D$15))-DCF!$G$12-DCF!$G$13)/DCF!$G$14)</f>
        <v>181.21984535799677</v>
      </c>
      <c r="E17" s="81"/>
      <c r="F17" s="81"/>
      <c r="G17" s="81"/>
      <c r="H17" s="81"/>
    </row>
    <row r="18" spans="1:8" x14ac:dyDescent="0.2">
      <c r="A18" s="89">
        <f>DCF!$B$15</f>
        <v>0.10057000000000001</v>
      </c>
      <c r="B18" s="88">
        <f>0.75*(DCF!$L$48/(1+$A18)^3)+0.25*((NPV($A18,DCF!$C$47:'DCF'!$G$47,DCF!$H$47+DCF!$H$47*(1+B$15)/($A18-B$15))-DCF!$G$12-DCF!$G$13)/DCF!$G$14)</f>
        <v>171.21167882136146</v>
      </c>
      <c r="C18" s="90">
        <f>0.75*(DCF!$L$48/(1+$A18)^3)+0.25*((NPV($A18,DCF!$C$47:'DCF'!$G$47,DCF!$H$47+DCF!$H$47*(1+C$15)/($A18-C$15))-DCF!$G$12-DCF!$G$13)/DCF!$G$14)</f>
        <v>173.213622833795</v>
      </c>
      <c r="D18" s="88">
        <f>0.75*(DCF!$L$48/(1+$A18)^3)+0.25*((NPV($A18,DCF!$C$47:'DCF'!$G$47,DCF!$H$47+DCF!$H$47*(1+D$15)/($A18-D$15))-DCF!$G$12-DCF!$G$13)/DCF!$G$14)</f>
        <v>175.5460842661449</v>
      </c>
      <c r="E18" s="81"/>
      <c r="F18" s="81"/>
      <c r="G18" s="81"/>
      <c r="H18" s="81"/>
    </row>
    <row r="19" spans="1:8" x14ac:dyDescent="0.2">
      <c r="A19" s="89">
        <f>DCF!$B$15+0.5%</f>
        <v>0.10557000000000001</v>
      </c>
      <c r="B19" s="88">
        <f>0.75*(DCF!$L$48/(1+$A19)^3)+0.25*((NPV($A19,DCF!$C$47:'DCF'!$G$47,DCF!$H$47+DCF!$H$47*(1+B$15)/($A19-B$15))-DCF!$G$12-DCF!$G$13)/DCF!$G$14)</f>
        <v>166.81073987888641</v>
      </c>
      <c r="C19" s="88">
        <f>0.75*(DCF!$L$48/(1+$A19)^3)+0.25*((NPV($A19,DCF!$C$47:'DCF'!$G$47,DCF!$H$47+DCF!$H$47*(1+C$15)/($A19-C$15))-DCF!$G$12-DCF!$G$13)/DCF!$G$14)</f>
        <v>168.5088459456021</v>
      </c>
      <c r="D19" s="88">
        <f>0.75*(DCF!$L$48/(1+$A19)^3)+0.25*((NPV($A19,DCF!$C$47:'DCF'!$G$47,DCF!$H$47+DCF!$H$47*(1+D$15)/($A19-D$15))-DCF!$G$12-DCF!$G$13)/DCF!$G$14)</f>
        <v>170.46592807861578</v>
      </c>
      <c r="E19" s="81"/>
      <c r="F19" s="81"/>
      <c r="G19" s="81"/>
      <c r="H19" s="81"/>
    </row>
    <row r="20" spans="1:8" x14ac:dyDescent="0.2">
      <c r="A20" s="89">
        <f>DCF!$B$15+1%</f>
        <v>0.11057</v>
      </c>
      <c r="B20" s="88">
        <f>0.75*(DCF!$L$48/(1+$A20)^3)+0.25*((NPV($A20,DCF!$C$47:'DCF'!$G$47,DCF!$H$47+DCF!$H$47*(1+B$15)/($A20-B$15))-DCF!$G$12-DCF!$G$13)/DCF!$G$14)</f>
        <v>162.74576753157237</v>
      </c>
      <c r="C20" s="88">
        <f>0.75*(DCF!$L$48/(1+$A20)^3)+0.25*((NPV($A20,DCF!$C$47:'DCF'!$G$47,DCF!$H$47+DCF!$H$47*(1+C$15)/($A20-C$15))-DCF!$G$12-DCF!$G$13)/DCF!$G$14)</f>
        <v>164.19993058635518</v>
      </c>
      <c r="D20" s="88">
        <f>0.75*(DCF!$L$48/(1+$A20)^3)+0.25*((NPV($A20,DCF!$C$47:'DCF'!$G$47,DCF!$H$47+DCF!$H$47*(1+D$15)/($A20-D$15))-DCF!$G$12-DCF!$G$13)/DCF!$G$14)</f>
        <v>165.860153305979</v>
      </c>
      <c r="E20" s="81"/>
      <c r="F20" s="81"/>
      <c r="G20" s="81"/>
      <c r="H20" s="81"/>
    </row>
    <row r="21" spans="1:8" x14ac:dyDescent="0.2">
      <c r="A21" s="81"/>
      <c r="B21" s="81"/>
      <c r="C21" s="81"/>
      <c r="D21" s="81"/>
      <c r="E21" s="81"/>
      <c r="F21" s="81"/>
      <c r="G21" s="81"/>
      <c r="H21" s="81"/>
    </row>
    <row r="22" spans="1:8" x14ac:dyDescent="0.2">
      <c r="A22" s="81"/>
      <c r="B22" s="81"/>
      <c r="C22" s="81"/>
      <c r="D22" s="81"/>
      <c r="E22" s="81"/>
      <c r="F22" s="81"/>
      <c r="G22" s="81"/>
      <c r="H22" s="81"/>
    </row>
    <row r="23" spans="1:8" x14ac:dyDescent="0.2">
      <c r="A23" s="81"/>
      <c r="B23" s="81"/>
      <c r="C23" s="81"/>
      <c r="D23" s="81"/>
      <c r="E23" s="81"/>
      <c r="F23" s="81"/>
      <c r="G23" s="81"/>
      <c r="H23" s="81"/>
    </row>
    <row r="24" spans="1:8" x14ac:dyDescent="0.2">
      <c r="A24" s="136" t="s">
        <v>173</v>
      </c>
      <c r="B24" s="136"/>
      <c r="C24" s="136"/>
      <c r="D24" s="136"/>
      <c r="E24" s="81"/>
      <c r="F24" s="81"/>
      <c r="G24" s="81"/>
      <c r="H24" s="81"/>
    </row>
    <row r="25" spans="1:8" x14ac:dyDescent="0.2">
      <c r="A25" s="85" t="s">
        <v>168</v>
      </c>
      <c r="B25" s="86">
        <v>0.03</v>
      </c>
      <c r="C25" s="86">
        <v>3.5000000000000003E-2</v>
      </c>
      <c r="D25" s="86">
        <v>0.04</v>
      </c>
      <c r="E25" s="81"/>
      <c r="F25" s="81"/>
      <c r="G25" s="81"/>
      <c r="H25" s="81"/>
    </row>
    <row r="26" spans="1:8" x14ac:dyDescent="0.2">
      <c r="A26" s="89">
        <f>DCF!$B$15-1%</f>
        <v>9.0570000000000012E-2</v>
      </c>
      <c r="B26" s="88">
        <f>0.75*(DCF!$L$61/(1+$A26)^3)+0.25*((NPV($A26,DCF!$C$61:'DCF'!$G$61,DCF!$H$61+DCF!$H$61*(1+B$25)/($A26-B$25))-DCF!$G$12-DCF!$G$13)/DCF!$G$14)</f>
        <v>107.36717135206068</v>
      </c>
      <c r="C26" s="88">
        <f>0.75*(DCF!$L$61/(1+$A26)^3)+0.25*((NPV($A26,DCF!$C$61:'DCF'!$G$61,DCF!$H$61+DCF!$H$61*(1+C$25)/($A26-C$25))-DCF!$G$12-DCF!$G$13)/DCF!$G$14)</f>
        <v>108.97885067140584</v>
      </c>
      <c r="D26" s="88">
        <f>0.75*(DCF!$L$61/(1+$A26)^3)+0.25*((NPV($A26,DCF!$C$61:'DCF'!$G$61,DCF!$H$61+DCF!$H$61*(1+D$25)/($A26-D$25))-DCF!$G$12-DCF!$G$13)/DCF!$G$14)</f>
        <v>110.90923264436879</v>
      </c>
      <c r="E26" s="81"/>
      <c r="F26" s="81"/>
      <c r="G26" s="81"/>
      <c r="H26" s="81"/>
    </row>
    <row r="27" spans="1:8" x14ac:dyDescent="0.2">
      <c r="A27" s="89">
        <f>DCF!$B$15-0.5%</f>
        <v>9.5570000000000002E-2</v>
      </c>
      <c r="B27" s="88">
        <f>0.75*(DCF!$L$61/(1+$A27)^3)+0.25*((NPV($A27,DCF!$C$61:'DCF'!$G$61,DCF!$H$61+DCF!$H$61*(1+B$25)/($A27-B$25))-DCF!$G$12-DCF!$G$13)/DCF!$G$14)</f>
        <v>104.25311178782488</v>
      </c>
      <c r="C27" s="88">
        <f>0.75*(DCF!$L$61/(1+$A27)^3)+0.25*((NPV($A27,DCF!$C$61:'DCF'!$G$61,DCF!$H$61+DCF!$H$61*(1+C$25)/($A27-C$25))-DCF!$G$12-DCF!$G$13)/DCF!$G$14)</f>
        <v>105.58811073298841</v>
      </c>
      <c r="D27" s="88">
        <f>0.75*(DCF!$L$61/(1+$A27)^3)+0.25*((NPV($A27,DCF!$C$61:'DCF'!$G$61,DCF!$H$61+DCF!$H$61*(1+D$25)/($A27-D$25))-DCF!$G$12-DCF!$G$13)/DCF!$G$14)</f>
        <v>107.1633470265708</v>
      </c>
      <c r="E27" s="81"/>
      <c r="F27" s="81"/>
      <c r="G27" s="81"/>
      <c r="H27" s="81"/>
    </row>
    <row r="28" spans="1:8" x14ac:dyDescent="0.2">
      <c r="A28" s="89">
        <f>DCF!$B$15</f>
        <v>0.10057000000000001</v>
      </c>
      <c r="B28" s="90">
        <f>0.75*(DCF!$L$61/(1+$A28)^3)+0.25*((NPV($A28,DCF!$C$61:'DCF'!$G$61,DCF!$H$61+DCF!$H$61*(1+B$25)/($A28-B$25))-DCF!$G$12-DCF!$G$13)/DCF!$G$14)</f>
        <v>101.42021792047309</v>
      </c>
      <c r="C28" s="88">
        <f>0.75*(DCF!$L$61/(1+$A28)^3)+0.25*((NPV($A28,DCF!$C$61:'DCF'!$G$61,DCF!$H$61+DCF!$H$61*(1+C$25)/($A28-C$25))-DCF!$G$12-DCF!$G$13)/DCF!$G$14)</f>
        <v>102.540250573653</v>
      </c>
      <c r="D28" s="88">
        <f>0.75*(DCF!$L$61/(1+$A28)^3)+0.25*((NPV($A28,DCF!$C$61:'DCF'!$G$61,DCF!$H$61+DCF!$H$61*(1+D$25)/($A28-D$25))-DCF!$G$12-DCF!$G$13)/DCF!$G$14)</f>
        <v>103.845198639278</v>
      </c>
      <c r="E28" s="81"/>
      <c r="F28" s="81"/>
      <c r="G28" s="81"/>
      <c r="H28" s="81"/>
    </row>
    <row r="29" spans="1:8" x14ac:dyDescent="0.2">
      <c r="A29" s="89">
        <f>DCF!$B$15+0.5%</f>
        <v>0.10557000000000001</v>
      </c>
      <c r="B29" s="88">
        <f>0.75*(DCF!$L$61/(1+$A29)^3)+0.25*((NPV($A29,DCF!$C$61:'DCF'!$G$61,DCF!$H$61+DCF!$H$61*(1+B$25)/($A29-B$25))-DCF!$G$12-DCF!$G$13)/DCF!$G$14)</f>
        <v>98.81683443598142</v>
      </c>
      <c r="C29" s="88">
        <f>0.75*(DCF!$L$61/(1+$A29)^3)+0.25*((NPV($A29,DCF!$C$61:'DCF'!$G$61,DCF!$H$61+DCF!$H$61*(1+C$25)/($A29-C$25))-DCF!$G$12-DCF!$G$13)/DCF!$G$14)</f>
        <v>99.766878109267026</v>
      </c>
      <c r="D29" s="88">
        <f>0.75*(DCF!$L$61/(1+$A29)^3)+0.25*((NPV($A29,DCF!$C$61:'DCF'!$G$61,DCF!$H$61+DCF!$H$61*(1+D$25)/($A29-D$25))-DCF!$G$12-DCF!$G$13)/DCF!$G$14)</f>
        <v>100.86181177390318</v>
      </c>
      <c r="E29" s="81"/>
      <c r="F29" s="81"/>
      <c r="G29" s="81"/>
      <c r="H29" s="81"/>
    </row>
    <row r="30" spans="1:8" x14ac:dyDescent="0.2">
      <c r="A30" s="89">
        <f>DCF!$B$15+1%</f>
        <v>0.11057</v>
      </c>
      <c r="B30" s="88">
        <f>0.75*(DCF!$L$61/(1+$A30)^3)+0.25*((NPV($A30,DCF!$C$61:'DCF'!$G$61,DCF!$H$61+DCF!$H$61*(1+B$25)/($A30-B$25))-DCF!$G$12-DCF!$G$13)/DCF!$G$14)</f>
        <v>96.404010680093663</v>
      </c>
      <c r="C30" s="88">
        <f>0.75*(DCF!$L$61/(1+$A30)^3)+0.25*((NPV($A30,DCF!$C$61:'DCF'!$G$61,DCF!$H$61+DCF!$H$61*(1+C$25)/($A30-C$25))-DCF!$G$12-DCF!$G$13)/DCF!$G$14)</f>
        <v>97.217574942774917</v>
      </c>
      <c r="D30" s="88">
        <f>0.75*(DCF!$L$61/(1+$A30)^3)+0.25*((NPV($A30,DCF!$C$61:'DCF'!$G$61,DCF!$H$61+DCF!$H$61*(1+D$25)/($A30-D$25))-DCF!$G$12-DCF!$G$13)/DCF!$G$14)</f>
        <v>98.146423924555094</v>
      </c>
      <c r="E30" s="81"/>
      <c r="F30" s="81"/>
      <c r="G30" s="81"/>
      <c r="H30" s="81"/>
    </row>
    <row r="31" spans="1:8" x14ac:dyDescent="0.2">
      <c r="A31" s="81"/>
      <c r="B31" s="81"/>
      <c r="C31" s="81"/>
      <c r="D31" s="81"/>
      <c r="E31" s="81"/>
      <c r="F31" s="81"/>
      <c r="G31" s="81"/>
      <c r="H31" s="81"/>
    </row>
    <row r="32" spans="1:8" x14ac:dyDescent="0.2">
      <c r="A32" s="81"/>
      <c r="B32" s="81"/>
      <c r="C32" s="81"/>
      <c r="D32" s="81"/>
      <c r="E32" s="81"/>
      <c r="F32" s="81"/>
      <c r="G32" s="81"/>
      <c r="H32" s="81"/>
    </row>
    <row r="33" spans="1:8" x14ac:dyDescent="0.2">
      <c r="A33" s="81"/>
      <c r="B33" s="81"/>
      <c r="C33" s="81"/>
      <c r="D33" s="81"/>
      <c r="E33" s="81"/>
      <c r="F33" s="81"/>
      <c r="G33" s="81"/>
      <c r="H33" s="81"/>
    </row>
    <row r="34" spans="1:8" x14ac:dyDescent="0.2">
      <c r="A34" s="81"/>
      <c r="B34" s="81"/>
      <c r="C34" s="81"/>
      <c r="D34" s="81"/>
      <c r="E34" s="81"/>
      <c r="F34" s="81"/>
      <c r="G34" s="81"/>
      <c r="H34" s="81"/>
    </row>
    <row r="35" spans="1:8" x14ac:dyDescent="0.2">
      <c r="A35" s="81"/>
      <c r="B35" s="81"/>
      <c r="C35" s="81"/>
      <c r="D35" s="81"/>
      <c r="E35" s="81"/>
      <c r="F35" s="81"/>
      <c r="G35" s="81"/>
      <c r="H35" s="81"/>
    </row>
    <row r="36" spans="1:8" x14ac:dyDescent="0.2">
      <c r="A36" s="81"/>
      <c r="B36" s="81"/>
      <c r="C36" s="81"/>
      <c r="D36" s="81"/>
      <c r="E36" s="81"/>
      <c r="F36" s="81"/>
      <c r="G36" s="81"/>
      <c r="H36" s="81"/>
    </row>
    <row r="37" spans="1:8" x14ac:dyDescent="0.2">
      <c r="A37" s="81"/>
      <c r="B37" s="81"/>
      <c r="C37" s="81"/>
      <c r="D37" s="81"/>
      <c r="E37" s="81"/>
      <c r="F37" s="81"/>
      <c r="G37" s="81"/>
      <c r="H37" s="81"/>
    </row>
    <row r="38" spans="1:8" x14ac:dyDescent="0.2">
      <c r="A38" s="81"/>
      <c r="B38" s="81"/>
      <c r="C38" s="81"/>
      <c r="D38" s="81"/>
      <c r="E38" s="81"/>
      <c r="F38" s="81"/>
      <c r="G38" s="81"/>
      <c r="H38" s="81"/>
    </row>
    <row r="39" spans="1:8" x14ac:dyDescent="0.2">
      <c r="A39" s="81"/>
      <c r="B39" s="81"/>
      <c r="C39" s="81"/>
      <c r="D39" s="81"/>
      <c r="E39" s="81"/>
      <c r="F39" s="81"/>
      <c r="G39" s="81"/>
      <c r="H39" s="81"/>
    </row>
    <row r="40" spans="1:8" x14ac:dyDescent="0.2">
      <c r="A40" s="81"/>
      <c r="B40" s="81"/>
      <c r="C40" s="81"/>
      <c r="D40" s="81"/>
      <c r="E40" s="81"/>
      <c r="F40" s="81"/>
      <c r="G40" s="81"/>
      <c r="H40" s="81"/>
    </row>
  </sheetData>
  <mergeCells count="3">
    <mergeCell ref="A4:D4"/>
    <mergeCell ref="A14:D14"/>
    <mergeCell ref="A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Historical Financials</vt:lpstr>
      <vt:lpstr>Forecast</vt:lpstr>
      <vt:lpstr>Charts</vt:lpstr>
      <vt:lpstr>DCF</vt:lpstr>
      <vt:lpstr>EV EBITDA </vt:lpstr>
      <vt:lpstr>Football Field Chart</vt:lpstr>
      <vt:lpstr>Comps</vt:lpstr>
      <vt:lpstr>Sensitivity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ozza4223 / 鄒 浩楊 / HAOYANG ZOU</dc:creator>
  <cp:lastModifiedBy>ozza4223 / 鄒 浩楊 / HAOYANG ZOU</cp:lastModifiedBy>
  <cp:lastPrinted>2026-06-23T06:45:06Z</cp:lastPrinted>
  <dcterms:created xsi:type="dcterms:W3CDTF">2026-06-17T01:11:36Z</dcterms:created>
  <dcterms:modified xsi:type="dcterms:W3CDTF">2026-07-09T02:37:03Z</dcterms:modified>
</cp:coreProperties>
</file>